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0730" windowHeight="9975"/>
  </bookViews>
  <sheets>
    <sheet name="สถิติแยกสาเหตุ 3 ปี" sheetId="8" r:id="rId1"/>
  </sheets>
  <definedNames>
    <definedName name="_xlnm.Print_Titles" localSheetId="0">'สถิติแยกสาเหตุ 3 ปี'!$5:$6</definedName>
  </definedNames>
  <calcPr calcId="145621"/>
</workbook>
</file>

<file path=xl/calcChain.xml><?xml version="1.0" encoding="utf-8"?>
<calcChain xmlns="http://schemas.openxmlformats.org/spreadsheetml/2006/main">
  <c r="G35" i="8" l="1"/>
  <c r="G28" i="8"/>
  <c r="G39" i="8"/>
  <c r="G38" i="8"/>
  <c r="G37" i="8"/>
  <c r="G36" i="8"/>
  <c r="G34" i="8"/>
  <c r="G33" i="8"/>
  <c r="G32" i="8"/>
  <c r="G31" i="8"/>
  <c r="G30" i="8"/>
  <c r="G29" i="8"/>
  <c r="G27" i="8"/>
  <c r="G26" i="8"/>
  <c r="G25" i="8"/>
  <c r="G24" i="8"/>
  <c r="G23" i="8"/>
  <c r="G22" i="8"/>
  <c r="G21" i="8"/>
  <c r="G19" i="8"/>
  <c r="G18" i="8"/>
  <c r="G17" i="8"/>
  <c r="G15" i="8"/>
  <c r="G14" i="8"/>
  <c r="G13" i="8"/>
  <c r="G12" i="8"/>
  <c r="G10" i="8"/>
  <c r="G9" i="8"/>
  <c r="G8" i="8"/>
  <c r="G16" i="8" l="1"/>
  <c r="G7" i="8" l="1"/>
  <c r="E35" i="8" l="1"/>
  <c r="D35" i="8"/>
  <c r="C35" i="8"/>
  <c r="E36" i="8"/>
  <c r="F35" i="8"/>
  <c r="G20" i="8" l="1"/>
  <c r="G11" i="8"/>
  <c r="G41" i="8" l="1"/>
  <c r="C7" i="8" l="1"/>
  <c r="C12" i="8"/>
  <c r="C13" i="8"/>
  <c r="C14" i="8"/>
  <c r="C15" i="8"/>
  <c r="C17" i="8"/>
  <c r="C18" i="8"/>
  <c r="C19" i="8"/>
  <c r="C21" i="8"/>
  <c r="C22" i="8"/>
  <c r="C23" i="8"/>
  <c r="C24" i="8"/>
  <c r="C25" i="8"/>
  <c r="C26" i="8"/>
  <c r="C27" i="8"/>
  <c r="C28" i="8"/>
  <c r="C29" i="8"/>
  <c r="C34" i="8"/>
  <c r="C36" i="8"/>
  <c r="C37" i="8"/>
  <c r="C38" i="8"/>
  <c r="C39" i="8"/>
  <c r="C40" i="8"/>
  <c r="F40" i="8"/>
  <c r="E40" i="8"/>
  <c r="D40" i="8"/>
  <c r="F39" i="8"/>
  <c r="E39" i="8"/>
  <c r="D39" i="8"/>
  <c r="F38" i="8"/>
  <c r="E38" i="8"/>
  <c r="D38" i="8"/>
  <c r="F37" i="8"/>
  <c r="E37" i="8"/>
  <c r="D37" i="8"/>
  <c r="F36" i="8"/>
  <c r="D36" i="8"/>
  <c r="F34" i="8"/>
  <c r="E34" i="8"/>
  <c r="D34" i="8"/>
  <c r="F33" i="8"/>
  <c r="E33" i="8"/>
  <c r="D33" i="8"/>
  <c r="F32" i="8"/>
  <c r="E32" i="8"/>
  <c r="D32" i="8"/>
  <c r="F31" i="8"/>
  <c r="E31" i="8"/>
  <c r="D31" i="8"/>
  <c r="F30" i="8"/>
  <c r="E30" i="8"/>
  <c r="D30" i="8"/>
  <c r="F29" i="8"/>
  <c r="E29" i="8"/>
  <c r="D29" i="8"/>
  <c r="F28" i="8"/>
  <c r="E28" i="8"/>
  <c r="D28" i="8"/>
  <c r="F27" i="8"/>
  <c r="E27" i="8"/>
  <c r="D27" i="8"/>
  <c r="F26" i="8"/>
  <c r="E26" i="8"/>
  <c r="D26" i="8"/>
  <c r="F25" i="8"/>
  <c r="E25" i="8"/>
  <c r="D25" i="8"/>
  <c r="F24" i="8"/>
  <c r="E24" i="8"/>
  <c r="D24" i="8"/>
  <c r="F23" i="8"/>
  <c r="E23" i="8"/>
  <c r="D23" i="8"/>
  <c r="F22" i="8"/>
  <c r="E22" i="8"/>
  <c r="D22" i="8"/>
  <c r="F21" i="8"/>
  <c r="E21" i="8"/>
  <c r="D21" i="8"/>
  <c r="F19" i="8"/>
  <c r="E19" i="8"/>
  <c r="D19" i="8"/>
  <c r="F18" i="8"/>
  <c r="E18" i="8"/>
  <c r="D18" i="8"/>
  <c r="F17" i="8"/>
  <c r="E17" i="8"/>
  <c r="D17" i="8"/>
  <c r="F15" i="8"/>
  <c r="E15" i="8"/>
  <c r="D15" i="8"/>
  <c r="F14" i="8"/>
  <c r="E14" i="8"/>
  <c r="D14" i="8"/>
  <c r="F13" i="8"/>
  <c r="E13" i="8"/>
  <c r="D13" i="8"/>
  <c r="F12" i="8"/>
  <c r="E12" i="8"/>
  <c r="D12" i="8"/>
  <c r="F10" i="8"/>
  <c r="E10" i="8"/>
  <c r="F9" i="8"/>
  <c r="E9" i="8"/>
  <c r="F8" i="8"/>
  <c r="E8" i="8"/>
  <c r="D7" i="8"/>
  <c r="E7" i="8" l="1"/>
  <c r="F16" i="8"/>
  <c r="E20" i="8"/>
  <c r="C16" i="8"/>
  <c r="F7" i="8"/>
  <c r="F20" i="8"/>
  <c r="C20" i="8"/>
  <c r="F11" i="8"/>
  <c r="F41" i="8" s="1"/>
  <c r="C11" i="8"/>
  <c r="E11" i="8"/>
  <c r="E16" i="8"/>
  <c r="D20" i="8"/>
  <c r="D11" i="8"/>
  <c r="D16" i="8"/>
  <c r="D41" i="8" l="1"/>
  <c r="C41" i="8"/>
  <c r="E41" i="8"/>
</calcChain>
</file>

<file path=xl/sharedStrings.xml><?xml version="1.0" encoding="utf-8"?>
<sst xmlns="http://schemas.openxmlformats.org/spreadsheetml/2006/main" count="43" uniqueCount="40">
  <si>
    <t>ที่</t>
  </si>
  <si>
    <t xml:space="preserve"> </t>
  </si>
  <si>
    <t>รวมทั้งหมด (30 แห่ง)</t>
  </si>
  <si>
    <t>สาเหตุหลักที่รับเข้าอุปการะ</t>
  </si>
  <si>
    <t>เด็กกำพร้า</t>
  </si>
  <si>
    <t xml:space="preserve"> - บิดา</t>
  </si>
  <si>
    <t xml:space="preserve"> - มารดา</t>
  </si>
  <si>
    <t xml:space="preserve"> - บิดาและมารดา</t>
  </si>
  <si>
    <t>เด็กถูกทอดทิ้ง</t>
  </si>
  <si>
    <t xml:space="preserve"> - โรงพยาบาล</t>
  </si>
  <si>
    <t xml:space="preserve"> - ที่สาธารณะ</t>
  </si>
  <si>
    <t xml:space="preserve"> - ผู้รับจ้างเลี้ยง</t>
  </si>
  <si>
    <t xml:space="preserve"> - ญาติ</t>
  </si>
  <si>
    <t>เด็กถูกทารุณกรรม</t>
  </si>
  <si>
    <t xml:space="preserve"> - ทางร่างกาย</t>
  </si>
  <si>
    <t xml:space="preserve"> - ทางจิตใจ</t>
  </si>
  <si>
    <t xml:space="preserve"> - ทางเพศ</t>
  </si>
  <si>
    <t>เด็กถูกกระทำความรุนแรงในครอบครัว</t>
  </si>
  <si>
    <t>เด็กเร่ร่อน</t>
  </si>
  <si>
    <t>เด็กพลัดหลง</t>
  </si>
  <si>
    <t>เด็กมีปัญหาความประพฤติ</t>
  </si>
  <si>
    <t>เด็กติดเชื้อเอดส์</t>
  </si>
  <si>
    <t>เด็กได้รับผลกระทบจากปัญหาเอดส์</t>
  </si>
  <si>
    <t>เด็กตาม พ.ร.บ. ค้ามนุษย์ฯ</t>
  </si>
  <si>
    <t>เด็กตั้งครรภ์ไม่พึงประสงค์</t>
  </si>
  <si>
    <t>เด็กที่ได้รับการเลี้ยงดูโดยมิชอบ</t>
  </si>
  <si>
    <t>เด็กที่ผู้ปกครองมีพฤติกรรมหรือประกอบอาชีพที่ไม่เหมาะสม</t>
  </si>
  <si>
    <t>เด็กที่ถูกส่งตัวตามคำสั่งศาล</t>
  </si>
  <si>
    <t>ผู้ปกครองต้องโทษ</t>
  </si>
  <si>
    <t>ผู้ปกครองมีฐานะยากจน</t>
  </si>
  <si>
    <t>ผู้ปกครองเจ็บป่วย/ พิการ</t>
  </si>
  <si>
    <t>บุตรผู้รับการสงเคราะห์</t>
  </si>
  <si>
    <t>บุตรจากมารดาตั้งครรภ์ไม่พึงประสงค์</t>
  </si>
  <si>
    <t>ครอบครัวแตกแยก</t>
  </si>
  <si>
    <t>อื่น ๆ (ระบุ)</t>
  </si>
  <si>
    <r>
      <t>หมายเหตุ</t>
    </r>
    <r>
      <rPr>
        <i/>
        <sz val="16"/>
        <color indexed="8"/>
        <rFont val="TH SarabunPSK"/>
        <family val="2"/>
      </rPr>
      <t xml:space="preserve"> : กรณีหากมีหลายสาเหตุการรับเข้าอุปการะ ให้พิจารณาสาเหตุหลัก</t>
    </r>
  </si>
  <si>
    <t>สังกัดกรมกิจการเด็กและเยาวชน</t>
  </si>
  <si>
    <t>จำนวน 30 แห่ง</t>
  </si>
  <si>
    <t>สถิติการให้บริการสวัสดิการแก่เด็กในสถานรองรับเด็ก</t>
  </si>
  <si>
    <t xml:space="preserve">ระหว่างปี 2556 - 2558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</si>
</sst>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sz val="11"/>
      <color indexed="8"/>
      <name val="Tahoma"/>
      <family val="2"/>
      <charset val="222"/>
    </font>
    <font>
      <sz val="11"/>
      <color rgb="FF000000"/>
      <name val="Tahoma"/>
      <family val="2"/>
      <charset val="222"/>
    </font>
    <font>
      <i/>
      <u/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12"/>
      <color indexed="8"/>
      <name val="TH SarabunPSK"/>
      <family val="2"/>
    </font>
    <font>
      <sz val="11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1">
    <xf numFmtId="0" fontId="0" fillId="0" borderId="0" xfId="0"/>
    <xf numFmtId="0" fontId="2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shrinkToFit="1"/>
    </xf>
    <xf numFmtId="3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wrapText="1"/>
    </xf>
    <xf numFmtId="3" fontId="1" fillId="0" borderId="5" xfId="1" applyNumberFormat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</cellXfs>
  <cellStyles count="3">
    <cellStyle name="Normal" xfId="0" builtinId="0"/>
    <cellStyle name="Normal 2" xfId="2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workbookViewId="0">
      <selection activeCell="J19" sqref="J19"/>
    </sheetView>
  </sheetViews>
  <sheetFormatPr defaultColWidth="9" defaultRowHeight="21" x14ac:dyDescent="0.2"/>
  <cols>
    <col min="1" max="1" width="5.375" style="1" customWidth="1"/>
    <col min="2" max="2" width="40.75" style="8" customWidth="1"/>
    <col min="3" max="4" width="8.375" style="1" hidden="1" customWidth="1"/>
    <col min="5" max="7" width="12" style="1" customWidth="1"/>
    <col min="8" max="16384" width="9" style="1"/>
  </cols>
  <sheetData>
    <row r="1" spans="1:10" x14ac:dyDescent="0.2">
      <c r="A1" s="16" t="s">
        <v>38</v>
      </c>
      <c r="B1" s="16"/>
      <c r="C1" s="16"/>
      <c r="D1" s="16"/>
      <c r="E1" s="16"/>
      <c r="F1" s="16"/>
      <c r="G1" s="16"/>
      <c r="H1" s="12"/>
    </row>
    <row r="2" spans="1:10" x14ac:dyDescent="0.2">
      <c r="A2" s="16" t="s">
        <v>36</v>
      </c>
      <c r="B2" s="16"/>
      <c r="C2" s="16"/>
      <c r="D2" s="16"/>
      <c r="E2" s="16"/>
      <c r="F2" s="16"/>
      <c r="G2" s="16"/>
      <c r="H2" s="13"/>
    </row>
    <row r="3" spans="1:10" x14ac:dyDescent="0.2">
      <c r="A3" s="17" t="s">
        <v>37</v>
      </c>
      <c r="B3" s="17"/>
      <c r="C3" s="17"/>
      <c r="D3" s="17"/>
      <c r="E3" s="17"/>
      <c r="F3" s="17"/>
      <c r="G3" s="17"/>
      <c r="H3" s="14"/>
    </row>
    <row r="4" spans="1:10" ht="21.75" thickBot="1" x14ac:dyDescent="0.25">
      <c r="A4" s="20" t="s">
        <v>39</v>
      </c>
      <c r="B4" s="20"/>
      <c r="C4" s="20"/>
      <c r="D4" s="20"/>
      <c r="E4" s="20"/>
      <c r="F4" s="20"/>
      <c r="G4" s="20"/>
      <c r="H4" s="13"/>
    </row>
    <row r="5" spans="1:10" ht="24.75" customHeight="1" x14ac:dyDescent="0.2">
      <c r="A5" s="18" t="s">
        <v>0</v>
      </c>
      <c r="B5" s="18" t="s">
        <v>3</v>
      </c>
      <c r="C5" s="18">
        <v>2554</v>
      </c>
      <c r="D5" s="18">
        <v>2555</v>
      </c>
      <c r="E5" s="18">
        <v>2556</v>
      </c>
      <c r="F5" s="18">
        <v>2557</v>
      </c>
      <c r="G5" s="18">
        <v>2558</v>
      </c>
      <c r="H5" s="2"/>
    </row>
    <row r="6" spans="1:10" s="2" customFormat="1" ht="21" customHeight="1" thickBot="1" x14ac:dyDescent="0.25">
      <c r="A6" s="19"/>
      <c r="B6" s="19"/>
      <c r="C6" s="19"/>
      <c r="D6" s="19"/>
      <c r="E6" s="19"/>
      <c r="F6" s="19"/>
      <c r="G6" s="19"/>
    </row>
    <row r="7" spans="1:10" s="2" customFormat="1" ht="21" customHeight="1" thickBot="1" x14ac:dyDescent="0.25">
      <c r="A7" s="3">
        <v>1</v>
      </c>
      <c r="B7" s="4" t="s">
        <v>4</v>
      </c>
      <c r="C7" s="5">
        <f>244+136+13+18</f>
        <v>411</v>
      </c>
      <c r="D7" s="5">
        <f>227+126+28+7</f>
        <v>388</v>
      </c>
      <c r="E7" s="5">
        <f>E8+E9+E10</f>
        <v>382</v>
      </c>
      <c r="F7" s="5">
        <f>F8+F9+F10</f>
        <v>372</v>
      </c>
      <c r="G7" s="5">
        <f>G8+G9+G10</f>
        <v>363</v>
      </c>
      <c r="H7" s="1"/>
    </row>
    <row r="8" spans="1:10" ht="21.75" customHeight="1" thickBot="1" x14ac:dyDescent="0.25">
      <c r="A8" s="3"/>
      <c r="B8" s="4" t="s">
        <v>5</v>
      </c>
      <c r="C8" s="5"/>
      <c r="D8" s="5"/>
      <c r="E8" s="5">
        <f>73+34</f>
        <v>107</v>
      </c>
      <c r="F8" s="5">
        <f>64+33+6+2</f>
        <v>105</v>
      </c>
      <c r="G8" s="5">
        <f>62+29</f>
        <v>91</v>
      </c>
    </row>
    <row r="9" spans="1:10" ht="21.75" customHeight="1" thickBot="1" x14ac:dyDescent="0.25">
      <c r="A9" s="3"/>
      <c r="B9" s="4" t="s">
        <v>6</v>
      </c>
      <c r="C9" s="5"/>
      <c r="D9" s="5"/>
      <c r="E9" s="5">
        <f>43+15</f>
        <v>58</v>
      </c>
      <c r="F9" s="5">
        <f>34+14+7+2</f>
        <v>57</v>
      </c>
      <c r="G9" s="5">
        <f>43+15</f>
        <v>58</v>
      </c>
      <c r="J9" s="1" t="s">
        <v>1</v>
      </c>
    </row>
    <row r="10" spans="1:10" ht="21.75" customHeight="1" thickBot="1" x14ac:dyDescent="0.25">
      <c r="A10" s="3"/>
      <c r="B10" s="4" t="s">
        <v>7</v>
      </c>
      <c r="C10" s="5"/>
      <c r="D10" s="5"/>
      <c r="E10" s="5">
        <f>135+82</f>
        <v>217</v>
      </c>
      <c r="F10" s="5">
        <f>122+73+9+6</f>
        <v>210</v>
      </c>
      <c r="G10" s="5">
        <f>122+92</f>
        <v>214</v>
      </c>
    </row>
    <row r="11" spans="1:10" ht="21.75" customHeight="1" thickBot="1" x14ac:dyDescent="0.25">
      <c r="A11" s="3">
        <v>2</v>
      </c>
      <c r="B11" s="4" t="s">
        <v>8</v>
      </c>
      <c r="C11" s="5">
        <f>C12+C13+C14+C15</f>
        <v>1080</v>
      </c>
      <c r="D11" s="5">
        <f t="shared" ref="D11:F11" si="0">D12+D13+D14+D15</f>
        <v>1157</v>
      </c>
      <c r="E11" s="5">
        <f t="shared" si="0"/>
        <v>1114</v>
      </c>
      <c r="F11" s="5">
        <f t="shared" si="0"/>
        <v>1150</v>
      </c>
      <c r="G11" s="5">
        <f t="shared" ref="G11" si="1">G12+G13+G14+G15</f>
        <v>1099</v>
      </c>
    </row>
    <row r="12" spans="1:10" ht="21.75" customHeight="1" thickBot="1" x14ac:dyDescent="0.25">
      <c r="A12" s="3"/>
      <c r="B12" s="4" t="s">
        <v>9</v>
      </c>
      <c r="C12" s="5">
        <f>193+85+34+19</f>
        <v>331</v>
      </c>
      <c r="D12" s="5">
        <f>216+94+26+16</f>
        <v>352</v>
      </c>
      <c r="E12" s="5">
        <f>209+106</f>
        <v>315</v>
      </c>
      <c r="F12" s="5">
        <f>183+84+29+16</f>
        <v>312</v>
      </c>
      <c r="G12" s="5">
        <f>192+103</f>
        <v>295</v>
      </c>
    </row>
    <row r="13" spans="1:10" ht="21.75" customHeight="1" thickBot="1" x14ac:dyDescent="0.25">
      <c r="A13" s="3"/>
      <c r="B13" s="4" t="s">
        <v>10</v>
      </c>
      <c r="C13" s="5">
        <f>111+92+41+30</f>
        <v>274</v>
      </c>
      <c r="D13" s="5">
        <f>138+104+53+32</f>
        <v>327</v>
      </c>
      <c r="E13" s="5">
        <f>200+148</f>
        <v>348</v>
      </c>
      <c r="F13" s="5">
        <f>165+132+41+24</f>
        <v>362</v>
      </c>
      <c r="G13" s="5">
        <f>206+144</f>
        <v>350</v>
      </c>
    </row>
    <row r="14" spans="1:10" ht="21.75" customHeight="1" thickBot="1" x14ac:dyDescent="0.25">
      <c r="A14" s="3"/>
      <c r="B14" s="4" t="s">
        <v>11</v>
      </c>
      <c r="C14" s="5">
        <f>144+76+30+26</f>
        <v>276</v>
      </c>
      <c r="D14" s="5">
        <f>142+86+37+10</f>
        <v>275</v>
      </c>
      <c r="E14" s="5">
        <f>165+99</f>
        <v>264</v>
      </c>
      <c r="F14" s="5">
        <f>156+82+30+19</f>
        <v>287</v>
      </c>
      <c r="G14" s="5">
        <f>183+97</f>
        <v>280</v>
      </c>
    </row>
    <row r="15" spans="1:10" ht="21.75" customHeight="1" thickBot="1" x14ac:dyDescent="0.25">
      <c r="A15" s="3"/>
      <c r="B15" s="4" t="s">
        <v>12</v>
      </c>
      <c r="C15" s="5">
        <f>92+75+19+13</f>
        <v>199</v>
      </c>
      <c r="D15" s="5">
        <f>100+64+21+18</f>
        <v>203</v>
      </c>
      <c r="E15" s="5">
        <f>112+75</f>
        <v>187</v>
      </c>
      <c r="F15" s="5">
        <f>96+73+10+10</f>
        <v>189</v>
      </c>
      <c r="G15" s="5">
        <f>99+75</f>
        <v>174</v>
      </c>
    </row>
    <row r="16" spans="1:10" ht="21.75" customHeight="1" thickBot="1" x14ac:dyDescent="0.25">
      <c r="A16" s="3">
        <v>3</v>
      </c>
      <c r="B16" s="4" t="s">
        <v>13</v>
      </c>
      <c r="C16" s="5">
        <f>C17+C18+C19</f>
        <v>382</v>
      </c>
      <c r="D16" s="5">
        <f t="shared" ref="D16:F16" si="2">D17+D18+D19</f>
        <v>273</v>
      </c>
      <c r="E16" s="5">
        <f t="shared" si="2"/>
        <v>282</v>
      </c>
      <c r="F16" s="5">
        <f t="shared" si="2"/>
        <v>275</v>
      </c>
      <c r="G16" s="5">
        <f>G17+G18+G19</f>
        <v>281</v>
      </c>
    </row>
    <row r="17" spans="1:7" ht="21.75" customHeight="1" thickBot="1" x14ac:dyDescent="0.25">
      <c r="A17" s="3"/>
      <c r="B17" s="4" t="s">
        <v>14</v>
      </c>
      <c r="C17" s="5">
        <f>84+61+8+2</f>
        <v>155</v>
      </c>
      <c r="D17" s="5">
        <f>35+32+7+2</f>
        <v>76</v>
      </c>
      <c r="E17" s="5">
        <f>44+36</f>
        <v>80</v>
      </c>
      <c r="F17" s="5">
        <f>42+30+4+2</f>
        <v>78</v>
      </c>
      <c r="G17" s="5">
        <f>33+31</f>
        <v>64</v>
      </c>
    </row>
    <row r="18" spans="1:7" ht="21.75" customHeight="1" thickBot="1" x14ac:dyDescent="0.25">
      <c r="A18" s="3"/>
      <c r="B18" s="4" t="s">
        <v>15</v>
      </c>
      <c r="C18" s="5">
        <f>2+2+0+4</f>
        <v>8</v>
      </c>
      <c r="D18" s="5">
        <f>3+15+0+0</f>
        <v>18</v>
      </c>
      <c r="E18" s="5">
        <f>10+13</f>
        <v>23</v>
      </c>
      <c r="F18" s="5">
        <f>5+10+0+1</f>
        <v>16</v>
      </c>
      <c r="G18" s="5">
        <f>5+3</f>
        <v>8</v>
      </c>
    </row>
    <row r="19" spans="1:7" ht="21.75" customHeight="1" thickBot="1" x14ac:dyDescent="0.25">
      <c r="A19" s="3"/>
      <c r="B19" s="4" t="s">
        <v>16</v>
      </c>
      <c r="C19" s="5">
        <f>5+174+2+38</f>
        <v>219</v>
      </c>
      <c r="D19" s="5">
        <f>0+146+1+32</f>
        <v>179</v>
      </c>
      <c r="E19" s="5">
        <f>4+175</f>
        <v>179</v>
      </c>
      <c r="F19" s="5">
        <f>4+146+0+31</f>
        <v>181</v>
      </c>
      <c r="G19" s="5">
        <f>8+201</f>
        <v>209</v>
      </c>
    </row>
    <row r="20" spans="1:7" ht="21.75" customHeight="1" thickBot="1" x14ac:dyDescent="0.25">
      <c r="A20" s="3">
        <v>4</v>
      </c>
      <c r="B20" s="4" t="s">
        <v>17</v>
      </c>
      <c r="C20" s="5">
        <f>C21+C22+C23</f>
        <v>371</v>
      </c>
      <c r="D20" s="5">
        <f t="shared" ref="D20:F20" si="3">D21+D22+D23</f>
        <v>373</v>
      </c>
      <c r="E20" s="5">
        <f t="shared" si="3"/>
        <v>357</v>
      </c>
      <c r="F20" s="5">
        <f t="shared" si="3"/>
        <v>340</v>
      </c>
      <c r="G20" s="5">
        <f t="shared" ref="G20" si="4">G21+G22+G23</f>
        <v>295</v>
      </c>
    </row>
    <row r="21" spans="1:7" ht="21.75" customHeight="1" thickBot="1" x14ac:dyDescent="0.25">
      <c r="A21" s="3"/>
      <c r="B21" s="4" t="s">
        <v>14</v>
      </c>
      <c r="C21" s="5">
        <f>52+77+6+22</f>
        <v>157</v>
      </c>
      <c r="D21" s="5">
        <f>51+92+11+18</f>
        <v>172</v>
      </c>
      <c r="E21" s="5">
        <f>60+109</f>
        <v>169</v>
      </c>
      <c r="F21" s="5">
        <f>59+96+13+6</f>
        <v>174</v>
      </c>
      <c r="G21" s="5">
        <f>75+90</f>
        <v>165</v>
      </c>
    </row>
    <row r="22" spans="1:7" ht="21.75" customHeight="1" thickBot="1" x14ac:dyDescent="0.25">
      <c r="A22" s="3"/>
      <c r="B22" s="4" t="s">
        <v>15</v>
      </c>
      <c r="C22" s="5">
        <f>14+28+0+11</f>
        <v>53</v>
      </c>
      <c r="D22" s="5">
        <f>3+29+0+3</f>
        <v>35</v>
      </c>
      <c r="E22" s="5">
        <f>3+32</f>
        <v>35</v>
      </c>
      <c r="F22" s="5">
        <f>0+25+0+2</f>
        <v>27</v>
      </c>
      <c r="G22" s="5">
        <f>0+18</f>
        <v>18</v>
      </c>
    </row>
    <row r="23" spans="1:7" ht="21.75" customHeight="1" thickBot="1" x14ac:dyDescent="0.25">
      <c r="A23" s="3"/>
      <c r="B23" s="4" t="s">
        <v>16</v>
      </c>
      <c r="C23" s="5">
        <f>0+141+0+20</f>
        <v>161</v>
      </c>
      <c r="D23" s="5">
        <f>1+132+0+33</f>
        <v>166</v>
      </c>
      <c r="E23" s="5">
        <f>0+153</f>
        <v>153</v>
      </c>
      <c r="F23" s="5">
        <f>0+124+0+15</f>
        <v>139</v>
      </c>
      <c r="G23" s="5">
        <f>0+112</f>
        <v>112</v>
      </c>
    </row>
    <row r="24" spans="1:7" ht="21.75" customHeight="1" thickBot="1" x14ac:dyDescent="0.25">
      <c r="A24" s="3">
        <v>5</v>
      </c>
      <c r="B24" s="4" t="s">
        <v>18</v>
      </c>
      <c r="C24" s="5">
        <f>264+99+113+15</f>
        <v>491</v>
      </c>
      <c r="D24" s="5">
        <f>259+97+64+2</f>
        <v>422</v>
      </c>
      <c r="E24" s="5">
        <f>281+84</f>
        <v>365</v>
      </c>
      <c r="F24" s="5">
        <f>195+74+50+3</f>
        <v>322</v>
      </c>
      <c r="G24" s="5">
        <f>200+81</f>
        <v>281</v>
      </c>
    </row>
    <row r="25" spans="1:7" ht="21.75" customHeight="1" thickBot="1" x14ac:dyDescent="0.25">
      <c r="A25" s="3">
        <v>6</v>
      </c>
      <c r="B25" s="4" t="s">
        <v>19</v>
      </c>
      <c r="C25" s="5">
        <f>45+21+13+5</f>
        <v>84</v>
      </c>
      <c r="D25" s="5">
        <f>35+21+9+1</f>
        <v>66</v>
      </c>
      <c r="E25" s="5">
        <f>28+22</f>
        <v>50</v>
      </c>
      <c r="F25" s="5">
        <f>29+20+17+0</f>
        <v>66</v>
      </c>
      <c r="G25" s="5">
        <f>26+22</f>
        <v>48</v>
      </c>
    </row>
    <row r="26" spans="1:7" ht="21.75" customHeight="1" thickBot="1" x14ac:dyDescent="0.25">
      <c r="A26" s="3">
        <v>7</v>
      </c>
      <c r="B26" s="4" t="s">
        <v>20</v>
      </c>
      <c r="C26" s="5">
        <f>402+135+167+50</f>
        <v>754</v>
      </c>
      <c r="D26" s="5">
        <f>523+134+122+33</f>
        <v>812</v>
      </c>
      <c r="E26" s="5">
        <f>497+146+6</f>
        <v>649</v>
      </c>
      <c r="F26" s="5">
        <f>270+105+72+19</f>
        <v>466</v>
      </c>
      <c r="G26" s="5">
        <f>308+134</f>
        <v>442</v>
      </c>
    </row>
    <row r="27" spans="1:7" ht="21.75" customHeight="1" thickBot="1" x14ac:dyDescent="0.25">
      <c r="A27" s="3">
        <v>8</v>
      </c>
      <c r="B27" s="4" t="s">
        <v>21</v>
      </c>
      <c r="C27" s="5">
        <f>139+143+24+13</f>
        <v>319</v>
      </c>
      <c r="D27" s="5">
        <f>137+115+21+8</f>
        <v>281</v>
      </c>
      <c r="E27" s="5">
        <f>132+107</f>
        <v>239</v>
      </c>
      <c r="F27" s="5">
        <f>113+89+8+6</f>
        <v>216</v>
      </c>
      <c r="G27" s="5">
        <f>124+97</f>
        <v>221</v>
      </c>
    </row>
    <row r="28" spans="1:7" ht="21.75" customHeight="1" thickBot="1" x14ac:dyDescent="0.25">
      <c r="A28" s="3">
        <v>9</v>
      </c>
      <c r="B28" s="4" t="s">
        <v>22</v>
      </c>
      <c r="C28" s="5">
        <f>33+32+7+15</f>
        <v>87</v>
      </c>
      <c r="D28" s="5">
        <f>38+43+12+1</f>
        <v>94</v>
      </c>
      <c r="E28" s="5">
        <f>50+49</f>
        <v>99</v>
      </c>
      <c r="F28" s="5">
        <f>47+43+8+1</f>
        <v>99</v>
      </c>
      <c r="G28" s="5">
        <f>68+30</f>
        <v>98</v>
      </c>
    </row>
    <row r="29" spans="1:7" ht="21.75" customHeight="1" thickBot="1" x14ac:dyDescent="0.25">
      <c r="A29" s="3">
        <v>10</v>
      </c>
      <c r="B29" s="4" t="s">
        <v>23</v>
      </c>
      <c r="C29" s="5">
        <f>27+10+9+3</f>
        <v>49</v>
      </c>
      <c r="D29" s="5">
        <f>16+15+21+0</f>
        <v>52</v>
      </c>
      <c r="E29" s="5">
        <f>38+39</f>
        <v>77</v>
      </c>
      <c r="F29" s="5">
        <f>50+27+28+6</f>
        <v>111</v>
      </c>
      <c r="G29" s="5">
        <f>48+23</f>
        <v>71</v>
      </c>
    </row>
    <row r="30" spans="1:7" ht="21.75" customHeight="1" thickBot="1" x14ac:dyDescent="0.25">
      <c r="A30" s="3">
        <v>11</v>
      </c>
      <c r="B30" s="4" t="s">
        <v>24</v>
      </c>
      <c r="C30" s="5"/>
      <c r="D30" s="5">
        <f>0+2+0+0</f>
        <v>2</v>
      </c>
      <c r="E30" s="5">
        <f>6+5</f>
        <v>11</v>
      </c>
      <c r="F30" s="5">
        <f>10+12+3+3</f>
        <v>28</v>
      </c>
      <c r="G30" s="5">
        <f>12+11</f>
        <v>23</v>
      </c>
    </row>
    <row r="31" spans="1:7" ht="21.75" customHeight="1" thickBot="1" x14ac:dyDescent="0.25">
      <c r="A31" s="3">
        <v>12</v>
      </c>
      <c r="B31" s="4" t="s">
        <v>25</v>
      </c>
      <c r="C31" s="5"/>
      <c r="D31" s="5">
        <f>132+141+48+17</f>
        <v>338</v>
      </c>
      <c r="E31" s="5">
        <f>196+169</f>
        <v>365</v>
      </c>
      <c r="F31" s="5">
        <f>180+140+41+36</f>
        <v>397</v>
      </c>
      <c r="G31" s="5">
        <f>250+240</f>
        <v>490</v>
      </c>
    </row>
    <row r="32" spans="1:7" ht="21.75" customHeight="1" thickBot="1" x14ac:dyDescent="0.25">
      <c r="A32" s="3">
        <v>13</v>
      </c>
      <c r="B32" s="6" t="s">
        <v>26</v>
      </c>
      <c r="C32" s="5"/>
      <c r="D32" s="5">
        <f>5+0+6+0</f>
        <v>11</v>
      </c>
      <c r="E32" s="5">
        <f>12+3</f>
        <v>15</v>
      </c>
      <c r="F32" s="5">
        <f>11+3+4+4</f>
        <v>22</v>
      </c>
      <c r="G32" s="5">
        <f>20+11</f>
        <v>31</v>
      </c>
    </row>
    <row r="33" spans="1:8" ht="21.75" customHeight="1" thickBot="1" x14ac:dyDescent="0.25">
      <c r="A33" s="3">
        <v>14</v>
      </c>
      <c r="B33" s="6" t="s">
        <v>27</v>
      </c>
      <c r="C33" s="5"/>
      <c r="D33" s="5">
        <f>32+3+22+2</f>
        <v>59</v>
      </c>
      <c r="E33" s="5">
        <f>56+7</f>
        <v>63</v>
      </c>
      <c r="F33" s="5">
        <f>31+2+26+0</f>
        <v>59</v>
      </c>
      <c r="G33" s="5">
        <f>79+4</f>
        <v>83</v>
      </c>
    </row>
    <row r="34" spans="1:8" ht="22.5" customHeight="1" thickBot="1" x14ac:dyDescent="0.25">
      <c r="A34" s="3">
        <v>15</v>
      </c>
      <c r="B34" s="4" t="s">
        <v>28</v>
      </c>
      <c r="C34" s="5">
        <f>211+189+47+52</f>
        <v>499</v>
      </c>
      <c r="D34" s="5">
        <f>229+189+46+37</f>
        <v>501</v>
      </c>
      <c r="E34" s="5">
        <f>254+217+10</f>
        <v>481</v>
      </c>
      <c r="F34" s="5">
        <f>214+196+40+32</f>
        <v>482</v>
      </c>
      <c r="G34" s="5">
        <f>258+243</f>
        <v>501</v>
      </c>
    </row>
    <row r="35" spans="1:8" ht="21.75" customHeight="1" thickBot="1" x14ac:dyDescent="0.25">
      <c r="A35" s="3">
        <v>16</v>
      </c>
      <c r="B35" s="4" t="s">
        <v>29</v>
      </c>
      <c r="C35" s="5">
        <f>544+341+132+75+313</f>
        <v>1405</v>
      </c>
      <c r="D35" s="5">
        <f>530+321+118+68+412</f>
        <v>1449</v>
      </c>
      <c r="E35" s="5">
        <f>643+363+20+163</f>
        <v>1189</v>
      </c>
      <c r="F35" s="5">
        <f>567+307+101+54+134</f>
        <v>1163</v>
      </c>
      <c r="G35" s="5">
        <f>617+343+146</f>
        <v>1106</v>
      </c>
    </row>
    <row r="36" spans="1:8" ht="21.75" customHeight="1" thickBot="1" x14ac:dyDescent="0.25">
      <c r="A36" s="3">
        <v>17</v>
      </c>
      <c r="B36" s="4" t="s">
        <v>30</v>
      </c>
      <c r="C36" s="5">
        <f>81+94+14+16</f>
        <v>205</v>
      </c>
      <c r="D36" s="5">
        <f>77+82+20+18</f>
        <v>197</v>
      </c>
      <c r="E36" s="5">
        <f>87+89</f>
        <v>176</v>
      </c>
      <c r="F36" s="5">
        <f>71+78+19+18</f>
        <v>186</v>
      </c>
      <c r="G36" s="5">
        <f>87+92</f>
        <v>179</v>
      </c>
    </row>
    <row r="37" spans="1:8" ht="21.75" customHeight="1" thickBot="1" x14ac:dyDescent="0.25">
      <c r="A37" s="3">
        <v>18</v>
      </c>
      <c r="B37" s="4" t="s">
        <v>31</v>
      </c>
      <c r="C37" s="5">
        <f>53+33+8+7</f>
        <v>101</v>
      </c>
      <c r="D37" s="5">
        <f>51+34+2+3</f>
        <v>90</v>
      </c>
      <c r="E37" s="5">
        <f>51+32</f>
        <v>83</v>
      </c>
      <c r="F37" s="5">
        <f>41+27+2+0</f>
        <v>70</v>
      </c>
      <c r="G37" s="5">
        <f>31+32</f>
        <v>63</v>
      </c>
    </row>
    <row r="38" spans="1:8" ht="21.75" customHeight="1" thickBot="1" x14ac:dyDescent="0.25">
      <c r="A38" s="3">
        <v>19</v>
      </c>
      <c r="B38" s="4" t="s">
        <v>32</v>
      </c>
      <c r="C38" s="5">
        <f>129+103+65+53</f>
        <v>350</v>
      </c>
      <c r="D38" s="5">
        <f>166+128+59+49</f>
        <v>402</v>
      </c>
      <c r="E38" s="5">
        <f>221+166+10</f>
        <v>397</v>
      </c>
      <c r="F38" s="5">
        <f>176+111+62+39</f>
        <v>388</v>
      </c>
      <c r="G38" s="5">
        <f>221+165</f>
        <v>386</v>
      </c>
    </row>
    <row r="39" spans="1:8" ht="21.75" customHeight="1" thickBot="1" x14ac:dyDescent="0.25">
      <c r="A39" s="3">
        <v>20</v>
      </c>
      <c r="B39" s="4" t="s">
        <v>33</v>
      </c>
      <c r="C39" s="5">
        <f>244+172+58+55</f>
        <v>529</v>
      </c>
      <c r="D39" s="5">
        <f>196+163+65+47</f>
        <v>471</v>
      </c>
      <c r="E39" s="5">
        <f>256+179</f>
        <v>435</v>
      </c>
      <c r="F39" s="5">
        <f>205+148+43+32</f>
        <v>428</v>
      </c>
      <c r="G39" s="5">
        <f>227+181</f>
        <v>408</v>
      </c>
    </row>
    <row r="40" spans="1:8" ht="21.75" customHeight="1" thickBot="1" x14ac:dyDescent="0.25">
      <c r="A40" s="3">
        <v>21</v>
      </c>
      <c r="B40" s="4" t="s">
        <v>34</v>
      </c>
      <c r="C40" s="5">
        <f>219+208+81+40</f>
        <v>548</v>
      </c>
      <c r="D40" s="5">
        <f>52+74+42+23</f>
        <v>191</v>
      </c>
      <c r="E40" s="5">
        <f>79+119</f>
        <v>198</v>
      </c>
      <c r="F40" s="5">
        <f>83+127+46+40</f>
        <v>296</v>
      </c>
      <c r="G40" s="5">
        <v>305</v>
      </c>
    </row>
    <row r="41" spans="1:8" ht="21.75" customHeight="1" thickBot="1" x14ac:dyDescent="0.25">
      <c r="A41" s="15" t="s">
        <v>2</v>
      </c>
      <c r="B41" s="15"/>
      <c r="C41" s="7">
        <f>C7+C11+C16+C20+C24+C25+C26+C27+C28+C29+C30+C31+C32+C33+C34+C35+C36+C37+C38+C39+C40</f>
        <v>7665</v>
      </c>
      <c r="D41" s="7">
        <f t="shared" ref="D41:F41" si="5">D7+D11+D16+D20+D24+D25+D26+D27+D28+D29+D30+D31+D32+D33+D34+D35+D36+D37+D38+D39+D40</f>
        <v>7629</v>
      </c>
      <c r="E41" s="7">
        <f t="shared" si="5"/>
        <v>7027</v>
      </c>
      <c r="F41" s="7">
        <f t="shared" si="5"/>
        <v>6936</v>
      </c>
      <c r="G41" s="7">
        <f>G7+G11+G16+G20+G24+G25+G26+G27+G28+G29+G30+G31+G32+G33+G34+G35+G36+G37+G38+G39+G40</f>
        <v>6774</v>
      </c>
      <c r="H41" s="2"/>
    </row>
    <row r="42" spans="1:8" s="2" customFormat="1" ht="21.75" thickTop="1" x14ac:dyDescent="0.2">
      <c r="A42" s="1"/>
      <c r="B42" s="8"/>
      <c r="C42" s="1"/>
      <c r="D42" s="1"/>
      <c r="E42" s="1"/>
      <c r="F42" s="1"/>
      <c r="G42" s="1"/>
      <c r="H42" s="1"/>
    </row>
    <row r="43" spans="1:8" x14ac:dyDescent="0.2">
      <c r="B43" s="9" t="s">
        <v>35</v>
      </c>
    </row>
    <row r="47" spans="1:8" x14ac:dyDescent="0.2">
      <c r="C47" s="10"/>
      <c r="D47" s="10"/>
      <c r="E47" s="10"/>
      <c r="F47" s="10"/>
      <c r="G47" s="10"/>
      <c r="H47" s="10"/>
    </row>
    <row r="48" spans="1:8" s="10" customFormat="1" x14ac:dyDescent="0.2">
      <c r="A48" s="1"/>
      <c r="B48" s="11"/>
    </row>
    <row r="49" spans="1:8" s="10" customFormat="1" x14ac:dyDescent="0.2">
      <c r="A49" s="1"/>
      <c r="B49" s="8"/>
    </row>
    <row r="50" spans="1:8" s="10" customFormat="1" x14ac:dyDescent="0.2">
      <c r="A50" s="1"/>
      <c r="B50" s="8"/>
    </row>
    <row r="51" spans="1:8" s="10" customFormat="1" x14ac:dyDescent="0.2">
      <c r="A51" s="1"/>
      <c r="B51" s="8"/>
    </row>
    <row r="52" spans="1:8" s="10" customFormat="1" x14ac:dyDescent="0.2">
      <c r="A52" s="1"/>
      <c r="B52" s="8"/>
    </row>
    <row r="53" spans="1:8" s="10" customFormat="1" x14ac:dyDescent="0.2">
      <c r="A53" s="1"/>
      <c r="B53" s="8"/>
    </row>
    <row r="54" spans="1:8" s="10" customFormat="1" x14ac:dyDescent="0.2">
      <c r="A54" s="1"/>
      <c r="B54" s="8"/>
    </row>
    <row r="55" spans="1:8" s="10" customFormat="1" x14ac:dyDescent="0.2">
      <c r="A55" s="1"/>
      <c r="B55" s="8"/>
    </row>
    <row r="56" spans="1:8" s="10" customFormat="1" x14ac:dyDescent="0.2">
      <c r="A56" s="1"/>
      <c r="B56" s="8"/>
      <c r="C56" s="1"/>
      <c r="D56" s="1"/>
      <c r="E56" s="1"/>
      <c r="F56" s="1"/>
      <c r="G56" s="1"/>
      <c r="H56" s="1"/>
    </row>
  </sheetData>
  <mergeCells count="12">
    <mergeCell ref="A41:B41"/>
    <mergeCell ref="A1:G1"/>
    <mergeCell ref="A3:G3"/>
    <mergeCell ref="A5:A6"/>
    <mergeCell ref="B5:B6"/>
    <mergeCell ref="C5:C6"/>
    <mergeCell ref="D5:D6"/>
    <mergeCell ref="E5:E6"/>
    <mergeCell ref="F5:F6"/>
    <mergeCell ref="A2:G2"/>
    <mergeCell ref="A4:G4"/>
    <mergeCell ref="G5:G6"/>
  </mergeCells>
  <pageMargins left="0.82677165354330717" right="0.19685039370078741" top="0.6692913385826772" bottom="0.9055118110236221" header="0.27559055118110237" footer="0.19685039370078741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สถิติแยกสาเหตุ 3 ปี</vt:lpstr>
      <vt:lpstr>'สถิติแยกสาเหตุ 3 ปี'!Print_Titles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</dc:creator>
  <cp:lastModifiedBy>OPP-User</cp:lastModifiedBy>
  <cp:lastPrinted>2016-04-18T07:55:15Z</cp:lastPrinted>
  <dcterms:created xsi:type="dcterms:W3CDTF">2015-03-03T07:14:50Z</dcterms:created>
  <dcterms:modified xsi:type="dcterms:W3CDTF">2016-04-26T02:37:16Z</dcterms:modified>
</cp:coreProperties>
</file>