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3395" yWindow="-135" windowWidth="9525" windowHeight="9690" tabRatio="409" activeTab="3"/>
  </bookViews>
  <sheets>
    <sheet name="ภาพรวม" sheetId="16" r:id="rId1"/>
    <sheet name="ภาพรวม (2)" sheetId="20" r:id="rId2"/>
    <sheet name="แผนบุคลากร" sheetId="3" r:id="rId3"/>
    <sheet name="งานตามภารกิจพื่นฐาน" sheetId="14" r:id="rId4"/>
    <sheet name="ยุทธศาสตร์" sheetId="17" r:id="rId5"/>
    <sheet name="กองทุนคุ้มครองเด็ก" sheetId="19" r:id="rId6"/>
    <sheet name="ค่าเบี้ยประชุมคณะกรรมการ" sheetId="4" r:id="rId7"/>
    <sheet name="อบรมสัมนา" sheetId="5" r:id="rId8"/>
    <sheet name="เดินทางไปต่างประเทศ" sheetId="6" r:id="rId9"/>
    <sheet name="ค่าเช่าบ้าน" sheetId="7" r:id="rId10"/>
    <sheet name="ค่าโทรศัพท์" sheetId="8" r:id="rId11"/>
    <sheet name="เงินอุดหนุน" sheetId="9" r:id="rId12"/>
    <sheet name="ค่าเช่าทรัพย์สิน" sheetId="10" r:id="rId13"/>
  </sheets>
  <definedNames>
    <definedName name="_xlnm.Print_Titles" localSheetId="5">กองทุนคุ้มครองเด็ก!$5:$7</definedName>
    <definedName name="_xlnm.Print_Titles" localSheetId="3">งานตามภารกิจพื่นฐาน!$5:$7</definedName>
    <definedName name="_xlnm.Print_Titles" localSheetId="2">แผนบุคลากร!$5:$7</definedName>
    <definedName name="_xlnm.Print_Titles" localSheetId="0">ภาพรวม!$5:$7</definedName>
    <definedName name="_xlnm.Print_Titles" localSheetId="1">'ภาพรวม (2)'!$5:$7</definedName>
    <definedName name="_xlnm.Print_Titles" localSheetId="4">ยุทธศาสตร์!$5:$7</definedName>
  </definedNames>
  <calcPr calcId="124519"/>
</workbook>
</file>

<file path=xl/calcChain.xml><?xml version="1.0" encoding="utf-8"?>
<calcChain xmlns="http://schemas.openxmlformats.org/spreadsheetml/2006/main">
  <c r="K10" i="16"/>
  <c r="K8" i="20"/>
  <c r="H1614" l="1"/>
  <c r="E1614"/>
  <c r="H1610"/>
  <c r="E1610"/>
  <c r="H1599"/>
  <c r="E1599"/>
  <c r="H1588"/>
  <c r="H1587" s="1"/>
  <c r="E1588"/>
  <c r="E1587"/>
  <c r="H1581"/>
  <c r="E1581"/>
  <c r="I1580"/>
  <c r="J1580" s="1"/>
  <c r="H1578"/>
  <c r="I1578" s="1"/>
  <c r="J1578" s="1"/>
  <c r="E1578"/>
  <c r="J1573"/>
  <c r="I1573"/>
  <c r="I1570"/>
  <c r="J1570" s="1"/>
  <c r="H1570"/>
  <c r="I1569"/>
  <c r="J1569" s="1"/>
  <c r="J1566"/>
  <c r="I1566"/>
  <c r="I1564"/>
  <c r="J1564" s="1"/>
  <c r="J1559"/>
  <c r="I1559"/>
  <c r="H1557"/>
  <c r="H1553" s="1"/>
  <c r="E1557"/>
  <c r="E1553" s="1"/>
  <c r="E1552" s="1"/>
  <c r="E1548" s="1"/>
  <c r="E1547" s="1"/>
  <c r="E1546" s="1"/>
  <c r="H1554"/>
  <c r="E1554"/>
  <c r="H1543"/>
  <c r="E1543"/>
  <c r="I1541"/>
  <c r="J1541" s="1"/>
  <c r="I1540"/>
  <c r="H1539"/>
  <c r="I1539" s="1"/>
  <c r="J1539" s="1"/>
  <c r="E1539"/>
  <c r="H1528"/>
  <c r="E1528"/>
  <c r="H1517"/>
  <c r="E1517"/>
  <c r="E1516" s="1"/>
  <c r="H1516"/>
  <c r="H1510"/>
  <c r="E1510"/>
  <c r="J1509"/>
  <c r="I1509"/>
  <c r="I1508"/>
  <c r="J1508" s="1"/>
  <c r="H1507"/>
  <c r="I1507" s="1"/>
  <c r="J1507" s="1"/>
  <c r="E1507"/>
  <c r="J1502"/>
  <c r="I1502"/>
  <c r="I1499"/>
  <c r="J1499" s="1"/>
  <c r="H1499"/>
  <c r="H1485" s="1"/>
  <c r="I1498"/>
  <c r="I1495"/>
  <c r="J1495" s="1"/>
  <c r="J1492"/>
  <c r="I1492"/>
  <c r="I1487"/>
  <c r="J1487" s="1"/>
  <c r="E1485"/>
  <c r="E1481" s="1"/>
  <c r="E1480" s="1"/>
  <c r="H1482"/>
  <c r="E1482"/>
  <c r="H1470"/>
  <c r="E1470"/>
  <c r="H1464"/>
  <c r="E1464"/>
  <c r="H1453"/>
  <c r="E1453"/>
  <c r="H1442"/>
  <c r="H1441" s="1"/>
  <c r="E1442"/>
  <c r="E1441"/>
  <c r="H1435"/>
  <c r="E1435"/>
  <c r="H1427"/>
  <c r="E1427"/>
  <c r="I1419"/>
  <c r="I1418"/>
  <c r="I1417"/>
  <c r="I1416"/>
  <c r="I1415"/>
  <c r="I1414"/>
  <c r="H1413"/>
  <c r="I1413" s="1"/>
  <c r="E1413"/>
  <c r="H1410"/>
  <c r="I1410" s="1"/>
  <c r="E1410"/>
  <c r="E1409" s="1"/>
  <c r="E1408" s="1"/>
  <c r="E1404" s="1"/>
  <c r="I1403"/>
  <c r="J1403" s="1"/>
  <c r="J1402"/>
  <c r="I1402"/>
  <c r="I1401"/>
  <c r="J1401" s="1"/>
  <c r="J1400"/>
  <c r="I1400"/>
  <c r="I1399"/>
  <c r="J1399" s="1"/>
  <c r="J1398"/>
  <c r="I1398"/>
  <c r="H1397"/>
  <c r="I1397" s="1"/>
  <c r="J1397" s="1"/>
  <c r="E1397"/>
  <c r="I1396"/>
  <c r="J1396" s="1"/>
  <c r="I1395"/>
  <c r="I1394"/>
  <c r="I1393"/>
  <c r="I1392"/>
  <c r="J1392" s="1"/>
  <c r="I1391"/>
  <c r="I1390"/>
  <c r="J1390" s="1"/>
  <c r="J1388"/>
  <c r="I1388"/>
  <c r="H1388"/>
  <c r="E1388"/>
  <c r="H1377"/>
  <c r="E1377"/>
  <c r="H1366"/>
  <c r="E1366"/>
  <c r="H1365"/>
  <c r="E1365"/>
  <c r="H1359"/>
  <c r="I1359" s="1"/>
  <c r="E1359"/>
  <c r="E1241" s="1"/>
  <c r="E1237" s="1"/>
  <c r="E1236" s="1"/>
  <c r="E1235" s="1"/>
  <c r="I1358"/>
  <c r="I1357"/>
  <c r="I1356"/>
  <c r="J1355"/>
  <c r="I1355"/>
  <c r="I1354"/>
  <c r="I1353"/>
  <c r="I1352"/>
  <c r="H1351"/>
  <c r="I1351" s="1"/>
  <c r="J1351" s="1"/>
  <c r="I1350"/>
  <c r="H1349"/>
  <c r="I1349" s="1"/>
  <c r="J1349" s="1"/>
  <c r="E1348"/>
  <c r="J1343"/>
  <c r="I1343"/>
  <c r="I1342"/>
  <c r="J1342" s="1"/>
  <c r="J1341"/>
  <c r="I1341"/>
  <c r="I1340"/>
  <c r="J1340" s="1"/>
  <c r="J1339"/>
  <c r="I1339"/>
  <c r="H1336"/>
  <c r="I1336" s="1"/>
  <c r="J1336" s="1"/>
  <c r="J1332"/>
  <c r="I1332"/>
  <c r="I1331"/>
  <c r="J1331" s="1"/>
  <c r="J1330"/>
  <c r="I1330"/>
  <c r="I1317"/>
  <c r="J1317" s="1"/>
  <c r="H1317"/>
  <c r="I1316"/>
  <c r="I1287"/>
  <c r="J1287" s="1"/>
  <c r="H1287"/>
  <c r="H1268"/>
  <c r="I1268" s="1"/>
  <c r="J1268" s="1"/>
  <c r="J1267"/>
  <c r="I1267"/>
  <c r="I1255"/>
  <c r="J1255" s="1"/>
  <c r="H1255"/>
  <c r="H1253"/>
  <c r="I1253" s="1"/>
  <c r="J1253" s="1"/>
  <c r="E1253"/>
  <c r="H1247"/>
  <c r="I1247" s="1"/>
  <c r="J1247" s="1"/>
  <c r="J1246"/>
  <c r="I1246"/>
  <c r="I1244"/>
  <c r="J1244" s="1"/>
  <c r="H1244"/>
  <c r="H1243"/>
  <c r="I1243" s="1"/>
  <c r="J1243" s="1"/>
  <c r="E1243"/>
  <c r="E1242"/>
  <c r="I1238"/>
  <c r="H1232"/>
  <c r="E1232"/>
  <c r="H1218"/>
  <c r="E1218"/>
  <c r="H1207"/>
  <c r="E1207"/>
  <c r="E1206" s="1"/>
  <c r="E1175" s="1"/>
  <c r="E1174" s="1"/>
  <c r="E1173" s="1"/>
  <c r="H1206"/>
  <c r="I1205"/>
  <c r="I1204"/>
  <c r="I1203"/>
  <c r="I1202"/>
  <c r="I1201"/>
  <c r="I1200"/>
  <c r="H1200"/>
  <c r="E1200"/>
  <c r="I1199"/>
  <c r="I1198"/>
  <c r="I1197"/>
  <c r="H1197"/>
  <c r="E1197"/>
  <c r="I1196"/>
  <c r="I1195"/>
  <c r="I1194"/>
  <c r="I1193"/>
  <c r="I1192"/>
  <c r="I1191"/>
  <c r="I1190"/>
  <c r="I1189"/>
  <c r="I1188"/>
  <c r="I1187"/>
  <c r="I1186"/>
  <c r="I1185"/>
  <c r="I1184"/>
  <c r="H1184"/>
  <c r="E1184"/>
  <c r="I1182"/>
  <c r="I1181"/>
  <c r="H1181"/>
  <c r="E1181"/>
  <c r="H1180"/>
  <c r="I1180" s="1"/>
  <c r="E1180"/>
  <c r="E1179"/>
  <c r="I1176"/>
  <c r="H1170"/>
  <c r="E1170"/>
  <c r="H1156"/>
  <c r="E1156"/>
  <c r="H1145"/>
  <c r="E1145"/>
  <c r="E1144" s="1"/>
  <c r="E1077" s="1"/>
  <c r="E1076" s="1"/>
  <c r="E1075" s="1"/>
  <c r="H1144"/>
  <c r="H1138"/>
  <c r="E1138"/>
  <c r="J1137"/>
  <c r="I1137"/>
  <c r="I1136"/>
  <c r="J1136" s="1"/>
  <c r="H1136"/>
  <c r="E1136"/>
  <c r="I1131"/>
  <c r="J1131" s="1"/>
  <c r="H1128"/>
  <c r="I1128" s="1"/>
  <c r="J1128" s="1"/>
  <c r="J1127"/>
  <c r="I1127"/>
  <c r="I1126"/>
  <c r="I1124"/>
  <c r="J1124" s="1"/>
  <c r="J1116"/>
  <c r="I1116"/>
  <c r="I1110"/>
  <c r="J1110" s="1"/>
  <c r="J1087"/>
  <c r="I1087"/>
  <c r="I1085"/>
  <c r="J1085" s="1"/>
  <c r="H1085"/>
  <c r="H1082" s="1"/>
  <c r="E1085"/>
  <c r="I1084"/>
  <c r="J1084" s="1"/>
  <c r="H1083"/>
  <c r="E1083"/>
  <c r="I1083" s="1"/>
  <c r="J1083" s="1"/>
  <c r="E1082"/>
  <c r="E1081"/>
  <c r="H1067"/>
  <c r="E1067"/>
  <c r="I1061"/>
  <c r="I1059"/>
  <c r="J1059" s="1"/>
  <c r="I1058"/>
  <c r="J1058" s="1"/>
  <c r="H1058"/>
  <c r="H1056"/>
  <c r="I1056" s="1"/>
  <c r="J1056" s="1"/>
  <c r="E1056"/>
  <c r="J1048"/>
  <c r="I1048"/>
  <c r="H1047"/>
  <c r="I1047" s="1"/>
  <c r="J1047" s="1"/>
  <c r="E1045"/>
  <c r="E1044"/>
  <c r="I1042"/>
  <c r="J1042" s="1"/>
  <c r="H1042"/>
  <c r="J1041"/>
  <c r="I1041"/>
  <c r="J1040"/>
  <c r="I1040"/>
  <c r="J1039"/>
  <c r="I1039"/>
  <c r="H1038"/>
  <c r="I1038" s="1"/>
  <c r="J1038" s="1"/>
  <c r="E1038"/>
  <c r="J1037"/>
  <c r="I1037"/>
  <c r="J1036"/>
  <c r="I1036"/>
  <c r="J1035"/>
  <c r="I1035"/>
  <c r="J1034"/>
  <c r="I1034"/>
  <c r="J1033"/>
  <c r="I1033"/>
  <c r="J1032"/>
  <c r="I1032"/>
  <c r="J1031"/>
  <c r="I1031"/>
  <c r="J1030"/>
  <c r="I1030"/>
  <c r="J1029"/>
  <c r="I1029"/>
  <c r="J1028"/>
  <c r="I1028"/>
  <c r="J1027"/>
  <c r="I1027"/>
  <c r="J1026"/>
  <c r="I1026"/>
  <c r="J1025"/>
  <c r="I1025"/>
  <c r="J1024"/>
  <c r="I1024"/>
  <c r="H1023"/>
  <c r="I1023" s="1"/>
  <c r="J1023" s="1"/>
  <c r="E1022"/>
  <c r="L1013"/>
  <c r="J1011"/>
  <c r="I1011"/>
  <c r="J1009"/>
  <c r="I1009"/>
  <c r="J1008"/>
  <c r="I1008"/>
  <c r="J1007"/>
  <c r="I1007"/>
  <c r="J1006"/>
  <c r="I1006"/>
  <c r="J1005"/>
  <c r="I1005"/>
  <c r="L996"/>
  <c r="I996"/>
  <c r="J996" s="1"/>
  <c r="L995"/>
  <c r="J995"/>
  <c r="I995"/>
  <c r="J994"/>
  <c r="I994"/>
  <c r="J993"/>
  <c r="I993"/>
  <c r="J992"/>
  <c r="I992"/>
  <c r="L987"/>
  <c r="I987"/>
  <c r="J987" s="1"/>
  <c r="H985"/>
  <c r="E985"/>
  <c r="E976" s="1"/>
  <c r="E975" s="1"/>
  <c r="I984"/>
  <c r="J984" s="1"/>
  <c r="H984"/>
  <c r="J979"/>
  <c r="I979"/>
  <c r="J978"/>
  <c r="I978"/>
  <c r="H977"/>
  <c r="I977" s="1"/>
  <c r="J977" s="1"/>
  <c r="E977"/>
  <c r="H971"/>
  <c r="E971"/>
  <c r="E968"/>
  <c r="H957"/>
  <c r="E957"/>
  <c r="E943" s="1"/>
  <c r="I950"/>
  <c r="J950" s="1"/>
  <c r="I949"/>
  <c r="J949" s="1"/>
  <c r="I948"/>
  <c r="J948" s="1"/>
  <c r="I947"/>
  <c r="J947" s="1"/>
  <c r="I946"/>
  <c r="J946" s="1"/>
  <c r="H946"/>
  <c r="H944" s="1"/>
  <c r="H945"/>
  <c r="I945" s="1"/>
  <c r="J945" s="1"/>
  <c r="J935"/>
  <c r="I935"/>
  <c r="H934"/>
  <c r="I934" s="1"/>
  <c r="J934" s="1"/>
  <c r="E934"/>
  <c r="J931"/>
  <c r="I931"/>
  <c r="H930"/>
  <c r="I930" s="1"/>
  <c r="J930" s="1"/>
  <c r="E930"/>
  <c r="J922"/>
  <c r="I922"/>
  <c r="J921"/>
  <c r="I921"/>
  <c r="H915"/>
  <c r="I915" s="1"/>
  <c r="J915" s="1"/>
  <c r="E910"/>
  <c r="E905" s="1"/>
  <c r="E904" s="1"/>
  <c r="H906"/>
  <c r="E906"/>
  <c r="I903"/>
  <c r="J897"/>
  <c r="I897"/>
  <c r="H896"/>
  <c r="I896" s="1"/>
  <c r="J896" s="1"/>
  <c r="E896"/>
  <c r="J895"/>
  <c r="I895"/>
  <c r="H893"/>
  <c r="I893" s="1"/>
  <c r="J893" s="1"/>
  <c r="E893"/>
  <c r="H882"/>
  <c r="H870" s="1"/>
  <c r="E882"/>
  <c r="J873"/>
  <c r="I873"/>
  <c r="H871"/>
  <c r="I871" s="1"/>
  <c r="J871" s="1"/>
  <c r="E871"/>
  <c r="E870"/>
  <c r="H864"/>
  <c r="E864"/>
  <c r="I863"/>
  <c r="J863" s="1"/>
  <c r="J862"/>
  <c r="I862"/>
  <c r="I861"/>
  <c r="J861" s="1"/>
  <c r="H860"/>
  <c r="I860" s="1"/>
  <c r="J860" s="1"/>
  <c r="E860"/>
  <c r="J847"/>
  <c r="I847"/>
  <c r="I843"/>
  <c r="J843" s="1"/>
  <c r="I839"/>
  <c r="H838"/>
  <c r="I838" s="1"/>
  <c r="J838" s="1"/>
  <c r="J837"/>
  <c r="I837"/>
  <c r="I836"/>
  <c r="J836" s="1"/>
  <c r="J835"/>
  <c r="I835"/>
  <c r="I834"/>
  <c r="J834" s="1"/>
  <c r="J833"/>
  <c r="I833"/>
  <c r="H831"/>
  <c r="I831" s="1"/>
  <c r="J831" s="1"/>
  <c r="E831"/>
  <c r="I830"/>
  <c r="J830" s="1"/>
  <c r="J829"/>
  <c r="I829"/>
  <c r="H828"/>
  <c r="I828" s="1"/>
  <c r="J828" s="1"/>
  <c r="E828"/>
  <c r="H827"/>
  <c r="I827" s="1"/>
  <c r="J827" s="1"/>
  <c r="E827"/>
  <c r="H826"/>
  <c r="I826" s="1"/>
  <c r="J826" s="1"/>
  <c r="E826"/>
  <c r="E824"/>
  <c r="I822"/>
  <c r="J822" s="1"/>
  <c r="J821"/>
  <c r="I821"/>
  <c r="H821"/>
  <c r="E821"/>
  <c r="H818"/>
  <c r="H807"/>
  <c r="E807"/>
  <c r="H796"/>
  <c r="E796"/>
  <c r="E795" s="1"/>
  <c r="E704" s="1"/>
  <c r="H795"/>
  <c r="H789"/>
  <c r="I789" s="1"/>
  <c r="E789"/>
  <c r="I788"/>
  <c r="I787"/>
  <c r="I786"/>
  <c r="J783"/>
  <c r="I783"/>
  <c r="L780"/>
  <c r="J780"/>
  <c r="I780"/>
  <c r="L773"/>
  <c r="I773"/>
  <c r="J773" s="1"/>
  <c r="I772"/>
  <c r="I767"/>
  <c r="J767" s="1"/>
  <c r="L761"/>
  <c r="J761"/>
  <c r="I761"/>
  <c r="L756"/>
  <c r="J756"/>
  <c r="I756"/>
  <c r="H755"/>
  <c r="I755" s="1"/>
  <c r="J755" s="1"/>
  <c r="E755"/>
  <c r="L743"/>
  <c r="I742"/>
  <c r="J742" s="1"/>
  <c r="J740"/>
  <c r="I740"/>
  <c r="I738"/>
  <c r="J738" s="1"/>
  <c r="L732"/>
  <c r="I732"/>
  <c r="J732" s="1"/>
  <c r="I731"/>
  <c r="I730"/>
  <c r="I729"/>
  <c r="L728"/>
  <c r="J728"/>
  <c r="I728"/>
  <c r="I727"/>
  <c r="I723"/>
  <c r="J723" s="1"/>
  <c r="L717"/>
  <c r="I717"/>
  <c r="J717" s="1"/>
  <c r="J715"/>
  <c r="I715"/>
  <c r="H715"/>
  <c r="E715"/>
  <c r="L709"/>
  <c r="J709"/>
  <c r="I709"/>
  <c r="H709"/>
  <c r="J708"/>
  <c r="I708"/>
  <c r="H708"/>
  <c r="E708"/>
  <c r="E707"/>
  <c r="E706"/>
  <c r="J701"/>
  <c r="I701"/>
  <c r="H701"/>
  <c r="E701"/>
  <c r="J698"/>
  <c r="I698"/>
  <c r="H696"/>
  <c r="I696" s="1"/>
  <c r="J696" s="1"/>
  <c r="E696"/>
  <c r="I687"/>
  <c r="J687" s="1"/>
  <c r="J685"/>
  <c r="I685"/>
  <c r="H685"/>
  <c r="E685"/>
  <c r="J677"/>
  <c r="I677"/>
  <c r="H676"/>
  <c r="I676" s="1"/>
  <c r="J676" s="1"/>
  <c r="E674"/>
  <c r="E673"/>
  <c r="I671"/>
  <c r="J671" s="1"/>
  <c r="I670"/>
  <c r="J670" s="1"/>
  <c r="I669"/>
  <c r="J669" s="1"/>
  <c r="I668"/>
  <c r="J668" s="1"/>
  <c r="I667"/>
  <c r="J667" s="1"/>
  <c r="E667"/>
  <c r="L661"/>
  <c r="I661"/>
  <c r="J661" s="1"/>
  <c r="L658"/>
  <c r="J658"/>
  <c r="I658"/>
  <c r="I654"/>
  <c r="J654" s="1"/>
  <c r="L649"/>
  <c r="I649"/>
  <c r="J649" s="1"/>
  <c r="L645"/>
  <c r="J645"/>
  <c r="I645"/>
  <c r="L642"/>
  <c r="I642"/>
  <c r="J642" s="1"/>
  <c r="L636"/>
  <c r="I636"/>
  <c r="J636" s="1"/>
  <c r="J634"/>
  <c r="I634"/>
  <c r="L630"/>
  <c r="I630"/>
  <c r="J630" s="1"/>
  <c r="L624"/>
  <c r="H624"/>
  <c r="I624" s="1"/>
  <c r="J624" s="1"/>
  <c r="E623"/>
  <c r="L612"/>
  <c r="I612"/>
  <c r="J612" s="1"/>
  <c r="J610"/>
  <c r="I610"/>
  <c r="L606"/>
  <c r="I606"/>
  <c r="J606" s="1"/>
  <c r="I602"/>
  <c r="J600"/>
  <c r="I600"/>
  <c r="L596"/>
  <c r="I596"/>
  <c r="J596" s="1"/>
  <c r="L593"/>
  <c r="J593"/>
  <c r="I593"/>
  <c r="L590"/>
  <c r="I590"/>
  <c r="J590" s="1"/>
  <c r="L584"/>
  <c r="H584"/>
  <c r="I584" s="1"/>
  <c r="J584" s="1"/>
  <c r="E582"/>
  <c r="L575"/>
  <c r="I575"/>
  <c r="J575" s="1"/>
  <c r="J574"/>
  <c r="I574"/>
  <c r="L569"/>
  <c r="I569"/>
  <c r="J569" s="1"/>
  <c r="L565"/>
  <c r="H565"/>
  <c r="I565" s="1"/>
  <c r="J565" s="1"/>
  <c r="E564"/>
  <c r="E563"/>
  <c r="E562"/>
  <c r="E560"/>
  <c r="I559"/>
  <c r="J559" s="1"/>
  <c r="I558"/>
  <c r="J558" s="1"/>
  <c r="H558"/>
  <c r="E558"/>
  <c r="I528"/>
  <c r="J528" s="1"/>
  <c r="H527"/>
  <c r="E527"/>
  <c r="I527" s="1"/>
  <c r="J527" s="1"/>
  <c r="I525"/>
  <c r="J525" s="1"/>
  <c r="L522"/>
  <c r="J522"/>
  <c r="I522"/>
  <c r="L517"/>
  <c r="L516"/>
  <c r="J516"/>
  <c r="I516"/>
  <c r="H515"/>
  <c r="I515" s="1"/>
  <c r="J515" s="1"/>
  <c r="E515"/>
  <c r="L505"/>
  <c r="I503"/>
  <c r="J503" s="1"/>
  <c r="I502"/>
  <c r="J502" s="1"/>
  <c r="L498"/>
  <c r="J498"/>
  <c r="I498"/>
  <c r="L492"/>
  <c r="I492"/>
  <c r="J492" s="1"/>
  <c r="L488"/>
  <c r="I488"/>
  <c r="J488" s="1"/>
  <c r="L479"/>
  <c r="I479"/>
  <c r="J479" s="1"/>
  <c r="L472"/>
  <c r="H472"/>
  <c r="I472" s="1"/>
  <c r="J472" s="1"/>
  <c r="E470"/>
  <c r="I467"/>
  <c r="J467" s="1"/>
  <c r="L464"/>
  <c r="J464"/>
  <c r="I464"/>
  <c r="L461"/>
  <c r="I461"/>
  <c r="J461" s="1"/>
  <c r="H461"/>
  <c r="H460"/>
  <c r="I460" s="1"/>
  <c r="J460" s="1"/>
  <c r="E460"/>
  <c r="E459"/>
  <c r="E458"/>
  <c r="E456"/>
  <c r="J451"/>
  <c r="I451"/>
  <c r="I450"/>
  <c r="I444"/>
  <c r="J444" s="1"/>
  <c r="H443"/>
  <c r="I443" s="1"/>
  <c r="J443" s="1"/>
  <c r="E443"/>
  <c r="I442"/>
  <c r="H438"/>
  <c r="I438" s="1"/>
  <c r="E438"/>
  <c r="H429"/>
  <c r="H427" s="1"/>
  <c r="H413" s="1"/>
  <c r="I413" s="1"/>
  <c r="J413" s="1"/>
  <c r="E427"/>
  <c r="J418"/>
  <c r="I418"/>
  <c r="I417"/>
  <c r="J417" s="1"/>
  <c r="J416"/>
  <c r="I416"/>
  <c r="H416"/>
  <c r="I414"/>
  <c r="J414" s="1"/>
  <c r="H414"/>
  <c r="E414"/>
  <c r="E413"/>
  <c r="H407"/>
  <c r="E407"/>
  <c r="I406"/>
  <c r="J406" s="1"/>
  <c r="I402"/>
  <c r="J402" s="1"/>
  <c r="H401"/>
  <c r="I401" s="1"/>
  <c r="J401" s="1"/>
  <c r="E401"/>
  <c r="I392"/>
  <c r="J392" s="1"/>
  <c r="I391"/>
  <c r="J391" s="1"/>
  <c r="H391"/>
  <c r="I390"/>
  <c r="J390" s="1"/>
  <c r="J389"/>
  <c r="I389"/>
  <c r="I388"/>
  <c r="J388" s="1"/>
  <c r="J385"/>
  <c r="I385"/>
  <c r="L380"/>
  <c r="I380"/>
  <c r="J380" s="1"/>
  <c r="L374"/>
  <c r="H374"/>
  <c r="I374" s="1"/>
  <c r="J374" s="1"/>
  <c r="L370"/>
  <c r="H370"/>
  <c r="I370" s="1"/>
  <c r="J370" s="1"/>
  <c r="L363"/>
  <c r="H363"/>
  <c r="I363" s="1"/>
  <c r="J363" s="1"/>
  <c r="E360"/>
  <c r="I354"/>
  <c r="J354" s="1"/>
  <c r="L351"/>
  <c r="J351"/>
  <c r="I351"/>
  <c r="I343"/>
  <c r="J343" s="1"/>
  <c r="J339"/>
  <c r="I339"/>
  <c r="H338"/>
  <c r="I338" s="1"/>
  <c r="J338" s="1"/>
  <c r="E338"/>
  <c r="E337"/>
  <c r="E336"/>
  <c r="E334"/>
  <c r="I332"/>
  <c r="J332" s="1"/>
  <c r="J331"/>
  <c r="I331"/>
  <c r="I330"/>
  <c r="J330" s="1"/>
  <c r="J328"/>
  <c r="I328"/>
  <c r="H327"/>
  <c r="I327" s="1"/>
  <c r="J327" s="1"/>
  <c r="E327"/>
  <c r="H311"/>
  <c r="E311"/>
  <c r="I304"/>
  <c r="J304" s="1"/>
  <c r="I303"/>
  <c r="J303" s="1"/>
  <c r="I302"/>
  <c r="J302" s="1"/>
  <c r="H302"/>
  <c r="H300"/>
  <c r="I300" s="1"/>
  <c r="J300" s="1"/>
  <c r="E300"/>
  <c r="H299"/>
  <c r="I299" s="1"/>
  <c r="J299" s="1"/>
  <c r="E299"/>
  <c r="H293"/>
  <c r="E293"/>
  <c r="I291"/>
  <c r="J291" s="1"/>
  <c r="I286"/>
  <c r="J286" s="1"/>
  <c r="H285"/>
  <c r="I285" s="1"/>
  <c r="J285" s="1"/>
  <c r="E285"/>
  <c r="L272"/>
  <c r="I270"/>
  <c r="J270" s="1"/>
  <c r="I269"/>
  <c r="J269" s="1"/>
  <c r="I268"/>
  <c r="J268" s="1"/>
  <c r="L265"/>
  <c r="I265"/>
  <c r="J265" s="1"/>
  <c r="I264"/>
  <c r="J264" s="1"/>
  <c r="L259"/>
  <c r="I259"/>
  <c r="J259" s="1"/>
  <c r="L255"/>
  <c r="L252"/>
  <c r="I252"/>
  <c r="J252" s="1"/>
  <c r="L229"/>
  <c r="H229"/>
  <c r="I229" s="1"/>
  <c r="J229" s="1"/>
  <c r="L224"/>
  <c r="I224"/>
  <c r="J224" s="1"/>
  <c r="H222"/>
  <c r="I222" s="1"/>
  <c r="J222" s="1"/>
  <c r="E222"/>
  <c r="L216"/>
  <c r="I216"/>
  <c r="J216" s="1"/>
  <c r="H216"/>
  <c r="I213"/>
  <c r="J213" s="1"/>
  <c r="I207"/>
  <c r="J207" s="1"/>
  <c r="H206"/>
  <c r="I206" s="1"/>
  <c r="J206" s="1"/>
  <c r="E206"/>
  <c r="H205"/>
  <c r="I205" s="1"/>
  <c r="J205" s="1"/>
  <c r="E205"/>
  <c r="H204"/>
  <c r="I204" s="1"/>
  <c r="J204" s="1"/>
  <c r="E204"/>
  <c r="E202" s="1"/>
  <c r="I203"/>
  <c r="H202"/>
  <c r="I199"/>
  <c r="J199" s="1"/>
  <c r="J198"/>
  <c r="I198"/>
  <c r="I197"/>
  <c r="J197" s="1"/>
  <c r="J196"/>
  <c r="I196"/>
  <c r="H196"/>
  <c r="I195"/>
  <c r="J195" s="1"/>
  <c r="H195"/>
  <c r="E195"/>
  <c r="H179"/>
  <c r="E179"/>
  <c r="L170"/>
  <c r="I170"/>
  <c r="J170" s="1"/>
  <c r="H168"/>
  <c r="E168"/>
  <c r="I168" s="1"/>
  <c r="J168" s="1"/>
  <c r="H167"/>
  <c r="E167"/>
  <c r="I167" s="1"/>
  <c r="J167" s="1"/>
  <c r="J165"/>
  <c r="I165"/>
  <c r="I164"/>
  <c r="J164" s="1"/>
  <c r="J163"/>
  <c r="I163"/>
  <c r="I162"/>
  <c r="J162" s="1"/>
  <c r="I161"/>
  <c r="J161" s="1"/>
  <c r="H161"/>
  <c r="H160"/>
  <c r="I160" s="1"/>
  <c r="J160" s="1"/>
  <c r="E160"/>
  <c r="H158"/>
  <c r="I158" s="1"/>
  <c r="J158" s="1"/>
  <c r="I157"/>
  <c r="J157" s="1"/>
  <c r="I154"/>
  <c r="J154" s="1"/>
  <c r="H154"/>
  <c r="L148"/>
  <c r="I148"/>
  <c r="J148" s="1"/>
  <c r="H147"/>
  <c r="I147" s="1"/>
  <c r="J147" s="1"/>
  <c r="E147"/>
  <c r="L136"/>
  <c r="I134"/>
  <c r="J134" s="1"/>
  <c r="I131"/>
  <c r="J131" s="1"/>
  <c r="I127"/>
  <c r="J127" s="1"/>
  <c r="H127"/>
  <c r="I123"/>
  <c r="J123" s="1"/>
  <c r="L118"/>
  <c r="I118"/>
  <c r="J118" s="1"/>
  <c r="E118"/>
  <c r="I106"/>
  <c r="J106" s="1"/>
  <c r="I105"/>
  <c r="J105" s="1"/>
  <c r="L96"/>
  <c r="I96"/>
  <c r="J96" s="1"/>
  <c r="E96"/>
  <c r="J95"/>
  <c r="I95"/>
  <c r="I94"/>
  <c r="J94" s="1"/>
  <c r="J93"/>
  <c r="I93"/>
  <c r="H93"/>
  <c r="I92"/>
  <c r="J92" s="1"/>
  <c r="H84"/>
  <c r="E84"/>
  <c r="I84" s="1"/>
  <c r="J84" s="1"/>
  <c r="H82"/>
  <c r="I82" s="1"/>
  <c r="J82" s="1"/>
  <c r="E82"/>
  <c r="I81"/>
  <c r="J81" s="1"/>
  <c r="I73"/>
  <c r="J73" s="1"/>
  <c r="H73"/>
  <c r="I67"/>
  <c r="J67" s="1"/>
  <c r="J64"/>
  <c r="I64"/>
  <c r="I62"/>
  <c r="J62" s="1"/>
  <c r="H61"/>
  <c r="I61" s="1"/>
  <c r="J61" s="1"/>
  <c r="E61"/>
  <c r="H60"/>
  <c r="I60" s="1"/>
  <c r="J60" s="1"/>
  <c r="E60"/>
  <c r="H59"/>
  <c r="I59" s="1"/>
  <c r="J59" s="1"/>
  <c r="E59"/>
  <c r="H57"/>
  <c r="I57" s="1"/>
  <c r="J57" s="1"/>
  <c r="E57"/>
  <c r="I48"/>
  <c r="J48" s="1"/>
  <c r="H47"/>
  <c r="H43" s="1"/>
  <c r="H42" s="1"/>
  <c r="G47"/>
  <c r="F47"/>
  <c r="E47"/>
  <c r="D47"/>
  <c r="G44"/>
  <c r="G42" s="1"/>
  <c r="F44"/>
  <c r="E44"/>
  <c r="I44" s="1"/>
  <c r="J44" s="1"/>
  <c r="D44"/>
  <c r="D42" s="1"/>
  <c r="F42"/>
  <c r="I39"/>
  <c r="J39" s="1"/>
  <c r="G39"/>
  <c r="I35"/>
  <c r="J35" s="1"/>
  <c r="I34"/>
  <c r="J34" s="1"/>
  <c r="I33"/>
  <c r="J33" s="1"/>
  <c r="I30"/>
  <c r="J30" s="1"/>
  <c r="H29"/>
  <c r="G29"/>
  <c r="E29"/>
  <c r="E28" s="1"/>
  <c r="D29"/>
  <c r="D28" s="1"/>
  <c r="H28"/>
  <c r="H23"/>
  <c r="E23"/>
  <c r="E18" s="1"/>
  <c r="H16"/>
  <c r="H12" s="1"/>
  <c r="E16"/>
  <c r="E12" s="1"/>
  <c r="H11"/>
  <c r="E11"/>
  <c r="F9"/>
  <c r="J8" i="14"/>
  <c r="I8"/>
  <c r="I24"/>
  <c r="I1082" i="20" l="1"/>
  <c r="J1082" s="1"/>
  <c r="H1081"/>
  <c r="H1552"/>
  <c r="I1553"/>
  <c r="J1553" s="1"/>
  <c r="E1476"/>
  <c r="E1475" s="1"/>
  <c r="E1474" s="1"/>
  <c r="E1074" s="1"/>
  <c r="E1072" s="1"/>
  <c r="E973" s="1"/>
  <c r="E56" s="1"/>
  <c r="E54" s="1"/>
  <c r="E53" s="1"/>
  <c r="I1485"/>
  <c r="J1485" s="1"/>
  <c r="H1481"/>
  <c r="H1179"/>
  <c r="I1557"/>
  <c r="J1557" s="1"/>
  <c r="H1348"/>
  <c r="H1409"/>
  <c r="I870"/>
  <c r="J870" s="1"/>
  <c r="H824"/>
  <c r="I824" s="1"/>
  <c r="J824" s="1"/>
  <c r="I202"/>
  <c r="J202" s="1"/>
  <c r="E902"/>
  <c r="I944"/>
  <c r="J944" s="1"/>
  <c r="H943"/>
  <c r="I943" s="1"/>
  <c r="J943" s="1"/>
  <c r="H707"/>
  <c r="I985"/>
  <c r="J985" s="1"/>
  <c r="H360"/>
  <c r="H564"/>
  <c r="H582"/>
  <c r="I582" s="1"/>
  <c r="J582" s="1"/>
  <c r="H623"/>
  <c r="I623" s="1"/>
  <c r="J623" s="1"/>
  <c r="H674"/>
  <c r="H910"/>
  <c r="H1022"/>
  <c r="H1045"/>
  <c r="H470"/>
  <c r="I11"/>
  <c r="J11" s="1"/>
  <c r="G28"/>
  <c r="I47"/>
  <c r="J47" s="1"/>
  <c r="I23"/>
  <c r="J23" s="1"/>
  <c r="I29"/>
  <c r="J29" s="1"/>
  <c r="E43"/>
  <c r="E42" s="1"/>
  <c r="H25"/>
  <c r="I16"/>
  <c r="J16" s="1"/>
  <c r="I28"/>
  <c r="J28" s="1"/>
  <c r="I12"/>
  <c r="J12" s="1"/>
  <c r="H18"/>
  <c r="I18" s="1"/>
  <c r="J18" s="1"/>
  <c r="I28" i="16"/>
  <c r="J28" s="1"/>
  <c r="E8" i="14"/>
  <c r="E802"/>
  <c r="I1179" i="20" l="1"/>
  <c r="H1175"/>
  <c r="I1081"/>
  <c r="J1081" s="1"/>
  <c r="H1077"/>
  <c r="H1548"/>
  <c r="I1552"/>
  <c r="J1552" s="1"/>
  <c r="I1348"/>
  <c r="J1348" s="1"/>
  <c r="H1242"/>
  <c r="H1480"/>
  <c r="I1481"/>
  <c r="J1481" s="1"/>
  <c r="I1409"/>
  <c r="H1408"/>
  <c r="H563"/>
  <c r="I564"/>
  <c r="J564" s="1"/>
  <c r="H1044"/>
  <c r="I1044" s="1"/>
  <c r="J1044" s="1"/>
  <c r="I1045"/>
  <c r="J1045" s="1"/>
  <c r="H905"/>
  <c r="I910"/>
  <c r="J910" s="1"/>
  <c r="I1022"/>
  <c r="J1022" s="1"/>
  <c r="H976"/>
  <c r="I707"/>
  <c r="J707" s="1"/>
  <c r="H706"/>
  <c r="I470"/>
  <c r="J470" s="1"/>
  <c r="H459"/>
  <c r="H673"/>
  <c r="I673" s="1"/>
  <c r="J673" s="1"/>
  <c r="I674"/>
  <c r="J674" s="1"/>
  <c r="H337"/>
  <c r="I360"/>
  <c r="J360" s="1"/>
  <c r="I43"/>
  <c r="J43" s="1"/>
  <c r="I42"/>
  <c r="J42" s="1"/>
  <c r="E25"/>
  <c r="I25" s="1"/>
  <c r="J25" s="1"/>
  <c r="H28" i="16"/>
  <c r="E28"/>
  <c r="I38"/>
  <c r="J38" s="1"/>
  <c r="H36"/>
  <c r="E36"/>
  <c r="I36" s="1"/>
  <c r="J36" s="1"/>
  <c r="H23" i="19"/>
  <c r="E23"/>
  <c r="H30"/>
  <c r="H28"/>
  <c r="H27"/>
  <c r="E27"/>
  <c r="E28"/>
  <c r="E30"/>
  <c r="I31"/>
  <c r="J31" s="1"/>
  <c r="I1175" i="20" l="1"/>
  <c r="H1174"/>
  <c r="I1408"/>
  <c r="H1404"/>
  <c r="I1404" s="1"/>
  <c r="H1241"/>
  <c r="I1242"/>
  <c r="J1242" s="1"/>
  <c r="I1077"/>
  <c r="J1077" s="1"/>
  <c r="H1076"/>
  <c r="H1476"/>
  <c r="I1480"/>
  <c r="J1480" s="1"/>
  <c r="H1547"/>
  <c r="I1548"/>
  <c r="J1548" s="1"/>
  <c r="I976"/>
  <c r="J976" s="1"/>
  <c r="H975"/>
  <c r="H904"/>
  <c r="I905"/>
  <c r="J905" s="1"/>
  <c r="H562"/>
  <c r="I563"/>
  <c r="J563" s="1"/>
  <c r="H336"/>
  <c r="I337"/>
  <c r="J337" s="1"/>
  <c r="I459"/>
  <c r="J459" s="1"/>
  <c r="H458"/>
  <c r="I706"/>
  <c r="J706" s="1"/>
  <c r="H704"/>
  <c r="I704" s="1"/>
  <c r="J704" s="1"/>
  <c r="I30" i="19"/>
  <c r="J30" s="1"/>
  <c r="E18"/>
  <c r="E8" s="1"/>
  <c r="I29"/>
  <c r="J29" s="1"/>
  <c r="I141" i="17"/>
  <c r="F9" i="16"/>
  <c r="H11"/>
  <c r="H16"/>
  <c r="H12" s="1"/>
  <c r="H23"/>
  <c r="H18" s="1"/>
  <c r="E11"/>
  <c r="E16"/>
  <c r="E23"/>
  <c r="H11" i="17"/>
  <c r="E11"/>
  <c r="H12"/>
  <c r="H16"/>
  <c r="E16"/>
  <c r="E23"/>
  <c r="E18" s="1"/>
  <c r="H18"/>
  <c r="H23"/>
  <c r="H564"/>
  <c r="E564"/>
  <c r="H560"/>
  <c r="E560"/>
  <c r="H549"/>
  <c r="E549"/>
  <c r="H538"/>
  <c r="E538"/>
  <c r="H531"/>
  <c r="E531"/>
  <c r="I530"/>
  <c r="J530" s="1"/>
  <c r="H528"/>
  <c r="I528" s="1"/>
  <c r="J528" s="1"/>
  <c r="E528"/>
  <c r="I523"/>
  <c r="J523" s="1"/>
  <c r="H520"/>
  <c r="I520" s="1"/>
  <c r="J520" s="1"/>
  <c r="J519"/>
  <c r="I519"/>
  <c r="I516"/>
  <c r="J516" s="1"/>
  <c r="I514"/>
  <c r="J514" s="1"/>
  <c r="I509"/>
  <c r="J509" s="1"/>
  <c r="E507"/>
  <c r="H504"/>
  <c r="E504"/>
  <c r="H493"/>
  <c r="E493"/>
  <c r="I491"/>
  <c r="J491" s="1"/>
  <c r="I490"/>
  <c r="H489"/>
  <c r="I489" s="1"/>
  <c r="J489" s="1"/>
  <c r="E489"/>
  <c r="H478"/>
  <c r="E478"/>
  <c r="H467"/>
  <c r="H466" s="1"/>
  <c r="E467"/>
  <c r="H460"/>
  <c r="E460"/>
  <c r="I459"/>
  <c r="J459" s="1"/>
  <c r="I458"/>
  <c r="J458" s="1"/>
  <c r="H457"/>
  <c r="E457"/>
  <c r="I452"/>
  <c r="J452" s="1"/>
  <c r="H449"/>
  <c r="H435" s="1"/>
  <c r="I448"/>
  <c r="I445"/>
  <c r="J445" s="1"/>
  <c r="I442"/>
  <c r="J442" s="1"/>
  <c r="I437"/>
  <c r="J437" s="1"/>
  <c r="E435"/>
  <c r="H432"/>
  <c r="E432"/>
  <c r="E431" s="1"/>
  <c r="E430" s="1"/>
  <c r="H420"/>
  <c r="E420"/>
  <c r="H414"/>
  <c r="E414"/>
  <c r="H403"/>
  <c r="E403"/>
  <c r="H392"/>
  <c r="E392"/>
  <c r="E391" s="1"/>
  <c r="H385"/>
  <c r="E385"/>
  <c r="H377"/>
  <c r="E377"/>
  <c r="I369"/>
  <c r="I368"/>
  <c r="I367"/>
  <c r="I366"/>
  <c r="I365"/>
  <c r="I364"/>
  <c r="H363"/>
  <c r="E363"/>
  <c r="H360"/>
  <c r="H359" s="1"/>
  <c r="E360"/>
  <c r="I353"/>
  <c r="J353" s="1"/>
  <c r="I352"/>
  <c r="J352" s="1"/>
  <c r="I351"/>
  <c r="J351" s="1"/>
  <c r="I350"/>
  <c r="J350" s="1"/>
  <c r="I349"/>
  <c r="J349" s="1"/>
  <c r="I348"/>
  <c r="J348" s="1"/>
  <c r="H347"/>
  <c r="I347" s="1"/>
  <c r="J347" s="1"/>
  <c r="E347"/>
  <c r="I346"/>
  <c r="J346" s="1"/>
  <c r="I345"/>
  <c r="I344"/>
  <c r="I343"/>
  <c r="I342"/>
  <c r="J342" s="1"/>
  <c r="I341"/>
  <c r="I340"/>
  <c r="J340" s="1"/>
  <c r="H338"/>
  <c r="I338" s="1"/>
  <c r="J338" s="1"/>
  <c r="E338"/>
  <c r="H327"/>
  <c r="E327"/>
  <c r="H316"/>
  <c r="E316"/>
  <c r="E315" s="1"/>
  <c r="H309"/>
  <c r="E309"/>
  <c r="I308"/>
  <c r="I307"/>
  <c r="I306"/>
  <c r="I305"/>
  <c r="J305" s="1"/>
  <c r="I304"/>
  <c r="I303"/>
  <c r="I302"/>
  <c r="H301"/>
  <c r="I301" s="1"/>
  <c r="J301" s="1"/>
  <c r="I300"/>
  <c r="H299"/>
  <c r="I299" s="1"/>
  <c r="J299" s="1"/>
  <c r="E298"/>
  <c r="I293"/>
  <c r="J293" s="1"/>
  <c r="I292"/>
  <c r="J292" s="1"/>
  <c r="I291"/>
  <c r="J291" s="1"/>
  <c r="I290"/>
  <c r="J290" s="1"/>
  <c r="I289"/>
  <c r="J289" s="1"/>
  <c r="H286"/>
  <c r="I286" s="1"/>
  <c r="J286" s="1"/>
  <c r="I282"/>
  <c r="J282" s="1"/>
  <c r="I281"/>
  <c r="J281" s="1"/>
  <c r="I280"/>
  <c r="J280" s="1"/>
  <c r="H267"/>
  <c r="I267" s="1"/>
  <c r="J267" s="1"/>
  <c r="I266"/>
  <c r="H237"/>
  <c r="I237" s="1"/>
  <c r="J237" s="1"/>
  <c r="H218"/>
  <c r="I217"/>
  <c r="J217" s="1"/>
  <c r="H205"/>
  <c r="I205" s="1"/>
  <c r="J205" s="1"/>
  <c r="E203"/>
  <c r="H197"/>
  <c r="I197" s="1"/>
  <c r="J197" s="1"/>
  <c r="I196"/>
  <c r="J196" s="1"/>
  <c r="H194"/>
  <c r="E193"/>
  <c r="I188"/>
  <c r="H182"/>
  <c r="E182"/>
  <c r="H168"/>
  <c r="E168"/>
  <c r="H157"/>
  <c r="E157"/>
  <c r="I155"/>
  <c r="I154"/>
  <c r="I153"/>
  <c r="I152"/>
  <c r="I151"/>
  <c r="H150"/>
  <c r="E150"/>
  <c r="I149"/>
  <c r="I148"/>
  <c r="H147"/>
  <c r="E147"/>
  <c r="I146"/>
  <c r="I145"/>
  <c r="I144"/>
  <c r="I143"/>
  <c r="I142"/>
  <c r="I140"/>
  <c r="I139"/>
  <c r="I138"/>
  <c r="I137"/>
  <c r="I136"/>
  <c r="I135"/>
  <c r="H134"/>
  <c r="E134"/>
  <c r="I134" s="1"/>
  <c r="I132"/>
  <c r="H131"/>
  <c r="E131"/>
  <c r="I126"/>
  <c r="H120"/>
  <c r="E120"/>
  <c r="H106"/>
  <c r="E106"/>
  <c r="H95"/>
  <c r="E95"/>
  <c r="H88"/>
  <c r="E88"/>
  <c r="I87"/>
  <c r="J87" s="1"/>
  <c r="H86"/>
  <c r="E86"/>
  <c r="I81"/>
  <c r="J81" s="1"/>
  <c r="H78"/>
  <c r="I78" s="1"/>
  <c r="J78" s="1"/>
  <c r="I77"/>
  <c r="J77" s="1"/>
  <c r="I76"/>
  <c r="I74"/>
  <c r="J74" s="1"/>
  <c r="I66"/>
  <c r="J66" s="1"/>
  <c r="I60"/>
  <c r="J60" s="1"/>
  <c r="I37"/>
  <c r="J37" s="1"/>
  <c r="E35"/>
  <c r="I34"/>
  <c r="J34" s="1"/>
  <c r="H33"/>
  <c r="E33"/>
  <c r="H1043" i="14"/>
  <c r="E1043"/>
  <c r="H1038"/>
  <c r="E1038"/>
  <c r="I1032"/>
  <c r="I1030"/>
  <c r="J1030" s="1"/>
  <c r="H1029"/>
  <c r="H1027" s="1"/>
  <c r="E1027"/>
  <c r="I1019"/>
  <c r="J1019" s="1"/>
  <c r="H1018"/>
  <c r="H1016" s="1"/>
  <c r="I1016" s="1"/>
  <c r="J1016" s="1"/>
  <c r="E1016"/>
  <c r="H1013"/>
  <c r="H1009" s="1"/>
  <c r="I1012"/>
  <c r="J1012" s="1"/>
  <c r="I1011"/>
  <c r="J1011" s="1"/>
  <c r="I1010"/>
  <c r="J1010" s="1"/>
  <c r="E1009"/>
  <c r="I1008"/>
  <c r="J1008" s="1"/>
  <c r="I1007"/>
  <c r="J1007" s="1"/>
  <c r="I1006"/>
  <c r="J1006" s="1"/>
  <c r="I1005"/>
  <c r="J1005" s="1"/>
  <c r="I1004"/>
  <c r="J1004" s="1"/>
  <c r="I1003"/>
  <c r="J1003" s="1"/>
  <c r="I1002"/>
  <c r="J1002" s="1"/>
  <c r="I1001"/>
  <c r="J1001" s="1"/>
  <c r="I1000"/>
  <c r="J1000" s="1"/>
  <c r="I999"/>
  <c r="J999" s="1"/>
  <c r="I998"/>
  <c r="J998" s="1"/>
  <c r="I997"/>
  <c r="J997" s="1"/>
  <c r="I996"/>
  <c r="J996" s="1"/>
  <c r="I995"/>
  <c r="J995" s="1"/>
  <c r="H994"/>
  <c r="H993" s="1"/>
  <c r="E993"/>
  <c r="L984"/>
  <c r="I982"/>
  <c r="J982" s="1"/>
  <c r="I980"/>
  <c r="J980" s="1"/>
  <c r="I979"/>
  <c r="J979" s="1"/>
  <c r="I978"/>
  <c r="J978" s="1"/>
  <c r="I977"/>
  <c r="J977" s="1"/>
  <c r="I976"/>
  <c r="J976" s="1"/>
  <c r="L967"/>
  <c r="I967"/>
  <c r="J967" s="1"/>
  <c r="L966"/>
  <c r="I966"/>
  <c r="J966" s="1"/>
  <c r="I965"/>
  <c r="J965" s="1"/>
  <c r="I964"/>
  <c r="J964" s="1"/>
  <c r="I963"/>
  <c r="J963" s="1"/>
  <c r="L958"/>
  <c r="I958"/>
  <c r="J958" s="1"/>
  <c r="H956"/>
  <c r="E956"/>
  <c r="H955"/>
  <c r="I955" s="1"/>
  <c r="J955" s="1"/>
  <c r="I950"/>
  <c r="J950" s="1"/>
  <c r="I949"/>
  <c r="J949" s="1"/>
  <c r="E948"/>
  <c r="H942"/>
  <c r="E942"/>
  <c r="E939"/>
  <c r="H928"/>
  <c r="E928"/>
  <c r="E914" s="1"/>
  <c r="I921"/>
  <c r="J921" s="1"/>
  <c r="I920"/>
  <c r="J920" s="1"/>
  <c r="I919"/>
  <c r="J919" s="1"/>
  <c r="I918"/>
  <c r="J918" s="1"/>
  <c r="H917"/>
  <c r="I917" s="1"/>
  <c r="J917" s="1"/>
  <c r="I906"/>
  <c r="J906" s="1"/>
  <c r="H905"/>
  <c r="E905"/>
  <c r="I902"/>
  <c r="J902" s="1"/>
  <c r="H901"/>
  <c r="E901"/>
  <c r="I893"/>
  <c r="J893" s="1"/>
  <c r="I892"/>
  <c r="J892" s="1"/>
  <c r="H886"/>
  <c r="I886" s="1"/>
  <c r="J886" s="1"/>
  <c r="E881"/>
  <c r="H877"/>
  <c r="E877"/>
  <c r="I874"/>
  <c r="I868"/>
  <c r="J868" s="1"/>
  <c r="H867"/>
  <c r="E867"/>
  <c r="I866"/>
  <c r="J866" s="1"/>
  <c r="H864"/>
  <c r="E864"/>
  <c r="H853"/>
  <c r="E853"/>
  <c r="I844"/>
  <c r="J844" s="1"/>
  <c r="H842"/>
  <c r="E842"/>
  <c r="H835"/>
  <c r="E835"/>
  <c r="I834"/>
  <c r="J834" s="1"/>
  <c r="I833"/>
  <c r="J833" s="1"/>
  <c r="I832"/>
  <c r="J832" s="1"/>
  <c r="H831"/>
  <c r="E831"/>
  <c r="I818"/>
  <c r="J818" s="1"/>
  <c r="I814"/>
  <c r="J814" s="1"/>
  <c r="I810"/>
  <c r="H809"/>
  <c r="H802" s="1"/>
  <c r="I808"/>
  <c r="J808" s="1"/>
  <c r="I807"/>
  <c r="J807" s="1"/>
  <c r="I806"/>
  <c r="J806" s="1"/>
  <c r="I805"/>
  <c r="J805" s="1"/>
  <c r="I804"/>
  <c r="J804" s="1"/>
  <c r="I801"/>
  <c r="J801" s="1"/>
  <c r="I800"/>
  <c r="J800" s="1"/>
  <c r="H799"/>
  <c r="E799"/>
  <c r="I793"/>
  <c r="J793" s="1"/>
  <c r="H792"/>
  <c r="E792"/>
  <c r="H789"/>
  <c r="H778"/>
  <c r="E778"/>
  <c r="H767"/>
  <c r="E767"/>
  <c r="H760"/>
  <c r="E760"/>
  <c r="I759"/>
  <c r="I758"/>
  <c r="I757"/>
  <c r="I754"/>
  <c r="J754" s="1"/>
  <c r="L751"/>
  <c r="I751"/>
  <c r="J751" s="1"/>
  <c r="L744"/>
  <c r="I744"/>
  <c r="J744" s="1"/>
  <c r="I743"/>
  <c r="I738"/>
  <c r="J738" s="1"/>
  <c r="L732"/>
  <c r="I732"/>
  <c r="J732" s="1"/>
  <c r="L727"/>
  <c r="I727"/>
  <c r="J727" s="1"/>
  <c r="H726"/>
  <c r="E726"/>
  <c r="L714"/>
  <c r="I713"/>
  <c r="J713" s="1"/>
  <c r="I711"/>
  <c r="J711" s="1"/>
  <c r="I709"/>
  <c r="J709" s="1"/>
  <c r="L703"/>
  <c r="I703"/>
  <c r="J703" s="1"/>
  <c r="I702"/>
  <c r="I701"/>
  <c r="I700"/>
  <c r="L699"/>
  <c r="I699"/>
  <c r="J699" s="1"/>
  <c r="I698"/>
  <c r="I694"/>
  <c r="J694" s="1"/>
  <c r="L688"/>
  <c r="I688"/>
  <c r="J688" s="1"/>
  <c r="H686"/>
  <c r="E686"/>
  <c r="L680"/>
  <c r="H680"/>
  <c r="H679" s="1"/>
  <c r="E679"/>
  <c r="H672"/>
  <c r="E672"/>
  <c r="I669"/>
  <c r="J669" s="1"/>
  <c r="H667"/>
  <c r="E667"/>
  <c r="I658"/>
  <c r="J658" s="1"/>
  <c r="H656"/>
  <c r="E656"/>
  <c r="I648"/>
  <c r="J648" s="1"/>
  <c r="H647"/>
  <c r="H645" s="1"/>
  <c r="E645"/>
  <c r="I642"/>
  <c r="J642" s="1"/>
  <c r="I641"/>
  <c r="J641" s="1"/>
  <c r="I640"/>
  <c r="J640" s="1"/>
  <c r="I639"/>
  <c r="J639" s="1"/>
  <c r="E638"/>
  <c r="L632"/>
  <c r="I632"/>
  <c r="J632" s="1"/>
  <c r="L629"/>
  <c r="I629"/>
  <c r="J629" s="1"/>
  <c r="I625"/>
  <c r="J625" s="1"/>
  <c r="L620"/>
  <c r="I620"/>
  <c r="J620" s="1"/>
  <c r="L616"/>
  <c r="I616"/>
  <c r="J616" s="1"/>
  <c r="L613"/>
  <c r="I613"/>
  <c r="J613" s="1"/>
  <c r="L607"/>
  <c r="I607"/>
  <c r="J607" s="1"/>
  <c r="I605"/>
  <c r="J605" s="1"/>
  <c r="L601"/>
  <c r="I601"/>
  <c r="J601" s="1"/>
  <c r="L595"/>
  <c r="H595"/>
  <c r="I595" s="1"/>
  <c r="J595" s="1"/>
  <c r="E594"/>
  <c r="L583"/>
  <c r="I583"/>
  <c r="J583" s="1"/>
  <c r="I581"/>
  <c r="J581" s="1"/>
  <c r="L577"/>
  <c r="I577"/>
  <c r="J577" s="1"/>
  <c r="I573"/>
  <c r="I571"/>
  <c r="J571" s="1"/>
  <c r="L567"/>
  <c r="I567"/>
  <c r="J567" s="1"/>
  <c r="L564"/>
  <c r="I564"/>
  <c r="J564" s="1"/>
  <c r="L561"/>
  <c r="I561"/>
  <c r="J561" s="1"/>
  <c r="L555"/>
  <c r="H555"/>
  <c r="H553" s="1"/>
  <c r="E553"/>
  <c r="L546"/>
  <c r="I546"/>
  <c r="J546" s="1"/>
  <c r="I545"/>
  <c r="J545" s="1"/>
  <c r="L540"/>
  <c r="I540"/>
  <c r="J540" s="1"/>
  <c r="L536"/>
  <c r="H536"/>
  <c r="H535" s="1"/>
  <c r="E535"/>
  <c r="I530"/>
  <c r="J530" s="1"/>
  <c r="H529"/>
  <c r="E529"/>
  <c r="I499"/>
  <c r="J499" s="1"/>
  <c r="H498"/>
  <c r="E498"/>
  <c r="I496"/>
  <c r="J496" s="1"/>
  <c r="L493"/>
  <c r="I493"/>
  <c r="J493" s="1"/>
  <c r="L488"/>
  <c r="L487" s="1"/>
  <c r="I487"/>
  <c r="J487" s="1"/>
  <c r="H486"/>
  <c r="E486"/>
  <c r="L476"/>
  <c r="I474"/>
  <c r="J474" s="1"/>
  <c r="I473"/>
  <c r="J473" s="1"/>
  <c r="L469"/>
  <c r="I469"/>
  <c r="J469" s="1"/>
  <c r="L463"/>
  <c r="I463"/>
  <c r="J463" s="1"/>
  <c r="L459"/>
  <c r="I459"/>
  <c r="J459" s="1"/>
  <c r="L450"/>
  <c r="I450"/>
  <c r="J450" s="1"/>
  <c r="L443"/>
  <c r="H443"/>
  <c r="E441"/>
  <c r="I438"/>
  <c r="J438" s="1"/>
  <c r="L435"/>
  <c r="I435"/>
  <c r="J435" s="1"/>
  <c r="L432"/>
  <c r="H432"/>
  <c r="H431" s="1"/>
  <c r="E431"/>
  <c r="I422"/>
  <c r="J422" s="1"/>
  <c r="I421"/>
  <c r="I415"/>
  <c r="J415" s="1"/>
  <c r="H414"/>
  <c r="E414"/>
  <c r="I413"/>
  <c r="H409"/>
  <c r="E409"/>
  <c r="H400"/>
  <c r="H398" s="1"/>
  <c r="E398"/>
  <c r="I389"/>
  <c r="J389" s="1"/>
  <c r="I388"/>
  <c r="J388" s="1"/>
  <c r="H387"/>
  <c r="H385" s="1"/>
  <c r="E385"/>
  <c r="E384" s="1"/>
  <c r="H378"/>
  <c r="E378"/>
  <c r="I377"/>
  <c r="J377" s="1"/>
  <c r="I373"/>
  <c r="J373" s="1"/>
  <c r="H372"/>
  <c r="E372"/>
  <c r="I363"/>
  <c r="J363" s="1"/>
  <c r="H362"/>
  <c r="I362" s="1"/>
  <c r="J362" s="1"/>
  <c r="I361"/>
  <c r="J361" s="1"/>
  <c r="I360"/>
  <c r="J360" s="1"/>
  <c r="I359"/>
  <c r="J359" s="1"/>
  <c r="I356"/>
  <c r="J356" s="1"/>
  <c r="L351"/>
  <c r="I351"/>
  <c r="J351" s="1"/>
  <c r="L345"/>
  <c r="H345"/>
  <c r="I345" s="1"/>
  <c r="J345" s="1"/>
  <c r="L341"/>
  <c r="H341"/>
  <c r="I341" s="1"/>
  <c r="J341" s="1"/>
  <c r="L334"/>
  <c r="H334"/>
  <c r="E331"/>
  <c r="I325"/>
  <c r="J325" s="1"/>
  <c r="L322"/>
  <c r="I322"/>
  <c r="J322" s="1"/>
  <c r="I314"/>
  <c r="J314" s="1"/>
  <c r="I310"/>
  <c r="J310" s="1"/>
  <c r="H309"/>
  <c r="E309"/>
  <c r="I303"/>
  <c r="J303" s="1"/>
  <c r="I302"/>
  <c r="J302" s="1"/>
  <c r="I301"/>
  <c r="J301" s="1"/>
  <c r="I299"/>
  <c r="J299" s="1"/>
  <c r="H298"/>
  <c r="E298"/>
  <c r="H282"/>
  <c r="E282"/>
  <c r="I275"/>
  <c r="J275" s="1"/>
  <c r="I274"/>
  <c r="J274" s="1"/>
  <c r="H273"/>
  <c r="H271" s="1"/>
  <c r="E271"/>
  <c r="H264"/>
  <c r="E264"/>
  <c r="I262"/>
  <c r="J262" s="1"/>
  <c r="I257"/>
  <c r="J257" s="1"/>
  <c r="H256"/>
  <c r="E256"/>
  <c r="L243"/>
  <c r="I241"/>
  <c r="J241" s="1"/>
  <c r="I240"/>
  <c r="J240" s="1"/>
  <c r="I239"/>
  <c r="J239" s="1"/>
  <c r="L236"/>
  <c r="I236"/>
  <c r="J236" s="1"/>
  <c r="I235"/>
  <c r="J235" s="1"/>
  <c r="L230"/>
  <c r="I230"/>
  <c r="J230" s="1"/>
  <c r="L226"/>
  <c r="L223" s="1"/>
  <c r="I223"/>
  <c r="J223" s="1"/>
  <c r="L200"/>
  <c r="H200"/>
  <c r="I200" s="1"/>
  <c r="J200" s="1"/>
  <c r="L195"/>
  <c r="I195"/>
  <c r="J195" s="1"/>
  <c r="E193"/>
  <c r="L187"/>
  <c r="H187"/>
  <c r="I187" s="1"/>
  <c r="J187" s="1"/>
  <c r="I184"/>
  <c r="J184" s="1"/>
  <c r="I178"/>
  <c r="J178" s="1"/>
  <c r="E177"/>
  <c r="I174"/>
  <c r="I170"/>
  <c r="J170" s="1"/>
  <c r="I169"/>
  <c r="J169" s="1"/>
  <c r="I168"/>
  <c r="J168" s="1"/>
  <c r="H167"/>
  <c r="I167" s="1"/>
  <c r="J167" s="1"/>
  <c r="E166"/>
  <c r="H150"/>
  <c r="E150"/>
  <c r="L141"/>
  <c r="I141"/>
  <c r="J141" s="1"/>
  <c r="H139"/>
  <c r="H138" s="1"/>
  <c r="E139"/>
  <c r="I136"/>
  <c r="J136" s="1"/>
  <c r="I135"/>
  <c r="J135" s="1"/>
  <c r="I134"/>
  <c r="J134" s="1"/>
  <c r="I133"/>
  <c r="J133" s="1"/>
  <c r="H132"/>
  <c r="H131" s="1"/>
  <c r="E131"/>
  <c r="H129"/>
  <c r="I129" s="1"/>
  <c r="J129" s="1"/>
  <c r="I128"/>
  <c r="J128" s="1"/>
  <c r="H125"/>
  <c r="L119"/>
  <c r="I119"/>
  <c r="J119" s="1"/>
  <c r="E118"/>
  <c r="L107"/>
  <c r="I105"/>
  <c r="J105" s="1"/>
  <c r="I102"/>
  <c r="J102" s="1"/>
  <c r="H98"/>
  <c r="I98" s="1"/>
  <c r="J98" s="1"/>
  <c r="I94"/>
  <c r="J94" s="1"/>
  <c r="L89"/>
  <c r="E89"/>
  <c r="I89" s="1"/>
  <c r="J89" s="1"/>
  <c r="I77"/>
  <c r="J77" s="1"/>
  <c r="I76"/>
  <c r="J76" s="1"/>
  <c r="L67"/>
  <c r="E67"/>
  <c r="I67" s="1"/>
  <c r="J67" s="1"/>
  <c r="I66"/>
  <c r="J66" s="1"/>
  <c r="I65"/>
  <c r="J65" s="1"/>
  <c r="H64"/>
  <c r="I63"/>
  <c r="J63" s="1"/>
  <c r="H55"/>
  <c r="E55"/>
  <c r="I52"/>
  <c r="J52" s="1"/>
  <c r="H44"/>
  <c r="H32" s="1"/>
  <c r="I38"/>
  <c r="J38" s="1"/>
  <c r="I35"/>
  <c r="J35" s="1"/>
  <c r="I33"/>
  <c r="J33" s="1"/>
  <c r="E32"/>
  <c r="J33" i="3"/>
  <c r="I29"/>
  <c r="J29" s="1"/>
  <c r="I32"/>
  <c r="J32" s="1"/>
  <c r="I33"/>
  <c r="I34"/>
  <c r="J34" s="1"/>
  <c r="I38"/>
  <c r="J38" s="1"/>
  <c r="I47"/>
  <c r="J47" s="1"/>
  <c r="E23" i="7"/>
  <c r="C23"/>
  <c r="E24"/>
  <c r="E26"/>
  <c r="E25"/>
  <c r="I1174" i="20" l="1"/>
  <c r="H1173"/>
  <c r="I1173" s="1"/>
  <c r="H1546"/>
  <c r="I1546" s="1"/>
  <c r="J1546" s="1"/>
  <c r="I1547"/>
  <c r="J1547" s="1"/>
  <c r="I1076"/>
  <c r="J1076" s="1"/>
  <c r="H1075"/>
  <c r="H1475"/>
  <c r="I1476"/>
  <c r="J1476" s="1"/>
  <c r="H1237"/>
  <c r="I1241"/>
  <c r="J1241" s="1"/>
  <c r="H560"/>
  <c r="I560" s="1"/>
  <c r="J560" s="1"/>
  <c r="I562"/>
  <c r="J562" s="1"/>
  <c r="I458"/>
  <c r="J458" s="1"/>
  <c r="H456"/>
  <c r="I456" s="1"/>
  <c r="J456" s="1"/>
  <c r="I975"/>
  <c r="J975" s="1"/>
  <c r="H334"/>
  <c r="I336"/>
  <c r="J336" s="1"/>
  <c r="I904"/>
  <c r="J904" s="1"/>
  <c r="H902"/>
  <c r="I902" s="1"/>
  <c r="J902" s="1"/>
  <c r="H18" i="19"/>
  <c r="I23"/>
  <c r="J23" s="1"/>
  <c r="E25"/>
  <c r="E24" s="1"/>
  <c r="E12" i="16"/>
  <c r="I12" s="1"/>
  <c r="J12" s="1"/>
  <c r="I16"/>
  <c r="J16" s="1"/>
  <c r="E18"/>
  <c r="I16" i="17"/>
  <c r="J16" s="1"/>
  <c r="I131"/>
  <c r="H298"/>
  <c r="I298" s="1"/>
  <c r="J298" s="1"/>
  <c r="I457"/>
  <c r="J457" s="1"/>
  <c r="I150"/>
  <c r="I33"/>
  <c r="J33" s="1"/>
  <c r="H35"/>
  <c r="H32" s="1"/>
  <c r="H94"/>
  <c r="H130"/>
  <c r="I130" s="1"/>
  <c r="I309"/>
  <c r="E466"/>
  <c r="E537"/>
  <c r="E359"/>
  <c r="E358" s="1"/>
  <c r="E354" s="1"/>
  <c r="E156"/>
  <c r="I86"/>
  <c r="J86" s="1"/>
  <c r="E94"/>
  <c r="I360"/>
  <c r="I363"/>
  <c r="E426"/>
  <c r="E425" s="1"/>
  <c r="E424" s="1"/>
  <c r="I23"/>
  <c r="J23" s="1"/>
  <c r="E32"/>
  <c r="E31" s="1"/>
  <c r="E10" s="1"/>
  <c r="I147"/>
  <c r="H156"/>
  <c r="E503"/>
  <c r="E502" s="1"/>
  <c r="E498" s="1"/>
  <c r="E497" s="1"/>
  <c r="E496" s="1"/>
  <c r="H537"/>
  <c r="E130"/>
  <c r="E129" s="1"/>
  <c r="H203"/>
  <c r="I203" s="1"/>
  <c r="J203" s="1"/>
  <c r="E192"/>
  <c r="E191" s="1"/>
  <c r="E187" s="1"/>
  <c r="E186" s="1"/>
  <c r="E185" s="1"/>
  <c r="E12"/>
  <c r="I12" s="1"/>
  <c r="J12" s="1"/>
  <c r="I18"/>
  <c r="J18" s="1"/>
  <c r="H431"/>
  <c r="I435"/>
  <c r="J435" s="1"/>
  <c r="I194"/>
  <c r="J194" s="1"/>
  <c r="H193"/>
  <c r="I218"/>
  <c r="J218" s="1"/>
  <c r="H315"/>
  <c r="H358"/>
  <c r="H10" s="1"/>
  <c r="H391"/>
  <c r="I449"/>
  <c r="J449" s="1"/>
  <c r="H507"/>
  <c r="I993" i="14"/>
  <c r="J993" s="1"/>
  <c r="E1015"/>
  <c r="H948"/>
  <c r="H947" s="1"/>
  <c r="E23"/>
  <c r="E18" s="1"/>
  <c r="E16"/>
  <c r="E12" s="1"/>
  <c r="I901"/>
  <c r="J901" s="1"/>
  <c r="E841"/>
  <c r="H841"/>
  <c r="I841" s="1"/>
  <c r="J841" s="1"/>
  <c r="H16"/>
  <c r="H12" s="1"/>
  <c r="I956"/>
  <c r="J956" s="1"/>
  <c r="E53"/>
  <c r="E31" s="1"/>
  <c r="E30" s="1"/>
  <c r="H177"/>
  <c r="I177" s="1"/>
  <c r="J177" s="1"/>
  <c r="I131"/>
  <c r="J131" s="1"/>
  <c r="I760"/>
  <c r="I792"/>
  <c r="J792" s="1"/>
  <c r="I799"/>
  <c r="J799" s="1"/>
  <c r="I414"/>
  <c r="J414" s="1"/>
  <c r="I905"/>
  <c r="J905" s="1"/>
  <c r="E947"/>
  <c r="E946" s="1"/>
  <c r="I1013"/>
  <c r="J1013" s="1"/>
  <c r="I1018"/>
  <c r="J1018" s="1"/>
  <c r="I680"/>
  <c r="J680" s="1"/>
  <c r="H270"/>
  <c r="I271"/>
  <c r="J271" s="1"/>
  <c r="I55"/>
  <c r="J55" s="1"/>
  <c r="I132"/>
  <c r="J132" s="1"/>
  <c r="I273"/>
  <c r="J273" s="1"/>
  <c r="H331"/>
  <c r="H308" s="1"/>
  <c r="H307" s="1"/>
  <c r="I372"/>
  <c r="J372" s="1"/>
  <c r="I555"/>
  <c r="J555" s="1"/>
  <c r="H118"/>
  <c r="I118" s="1"/>
  <c r="J118" s="1"/>
  <c r="I139"/>
  <c r="J139" s="1"/>
  <c r="H193"/>
  <c r="I193" s="1"/>
  <c r="J193" s="1"/>
  <c r="I486"/>
  <c r="J486" s="1"/>
  <c r="I536"/>
  <c r="J536" s="1"/>
  <c r="H594"/>
  <c r="I594" s="1"/>
  <c r="J594" s="1"/>
  <c r="I647"/>
  <c r="J647" s="1"/>
  <c r="I686"/>
  <c r="J686" s="1"/>
  <c r="E678"/>
  <c r="E677" s="1"/>
  <c r="I809"/>
  <c r="J809" s="1"/>
  <c r="H1015"/>
  <c r="I298"/>
  <c r="J298" s="1"/>
  <c r="E534"/>
  <c r="E533" s="1"/>
  <c r="I553"/>
  <c r="J553" s="1"/>
  <c r="I831"/>
  <c r="J831" s="1"/>
  <c r="I864"/>
  <c r="J864" s="1"/>
  <c r="I867"/>
  <c r="J867" s="1"/>
  <c r="I1009"/>
  <c r="J1009" s="1"/>
  <c r="I535"/>
  <c r="J535" s="1"/>
  <c r="I645"/>
  <c r="J645" s="1"/>
  <c r="I667"/>
  <c r="J667" s="1"/>
  <c r="E766"/>
  <c r="I679"/>
  <c r="J679" s="1"/>
  <c r="H678"/>
  <c r="I125"/>
  <c r="J125" s="1"/>
  <c r="H166"/>
  <c r="I334"/>
  <c r="J334" s="1"/>
  <c r="I409"/>
  <c r="E430"/>
  <c r="E429" s="1"/>
  <c r="E427" s="1"/>
  <c r="I498"/>
  <c r="J498" s="1"/>
  <c r="I672"/>
  <c r="J672" s="1"/>
  <c r="H766"/>
  <c r="E798"/>
  <c r="E797" s="1"/>
  <c r="I842"/>
  <c r="J842" s="1"/>
  <c r="H915"/>
  <c r="I994"/>
  <c r="J994" s="1"/>
  <c r="I1029"/>
  <c r="J1029" s="1"/>
  <c r="H53"/>
  <c r="E138"/>
  <c r="I138" s="1"/>
  <c r="J138" s="1"/>
  <c r="E176"/>
  <c r="E175" s="1"/>
  <c r="I726"/>
  <c r="J726" s="1"/>
  <c r="E876"/>
  <c r="E875" s="1"/>
  <c r="E873" s="1"/>
  <c r="I64"/>
  <c r="J64" s="1"/>
  <c r="I256"/>
  <c r="J256" s="1"/>
  <c r="E270"/>
  <c r="I309"/>
  <c r="J309" s="1"/>
  <c r="E644"/>
  <c r="I32"/>
  <c r="J32" s="1"/>
  <c r="I385"/>
  <c r="J385" s="1"/>
  <c r="H384"/>
  <c r="I431"/>
  <c r="J431" s="1"/>
  <c r="I44"/>
  <c r="J44" s="1"/>
  <c r="E308"/>
  <c r="E307" s="1"/>
  <c r="E305" s="1"/>
  <c r="I387"/>
  <c r="J387" s="1"/>
  <c r="I432"/>
  <c r="J432" s="1"/>
  <c r="I529"/>
  <c r="J529" s="1"/>
  <c r="I638"/>
  <c r="J638" s="1"/>
  <c r="H644"/>
  <c r="I656"/>
  <c r="J656" s="1"/>
  <c r="I443"/>
  <c r="J443" s="1"/>
  <c r="H441"/>
  <c r="I441" s="1"/>
  <c r="J441" s="1"/>
  <c r="I802"/>
  <c r="J802" s="1"/>
  <c r="H798"/>
  <c r="H881"/>
  <c r="H916"/>
  <c r="I916" s="1"/>
  <c r="J916" s="1"/>
  <c r="I1027"/>
  <c r="J1027" s="1"/>
  <c r="I1075" i="20" l="1"/>
  <c r="J1075" s="1"/>
  <c r="H1474"/>
  <c r="I1474" s="1"/>
  <c r="J1474" s="1"/>
  <c r="I1475"/>
  <c r="J1475" s="1"/>
  <c r="H1236"/>
  <c r="I1237"/>
  <c r="J1237" s="1"/>
  <c r="I334"/>
  <c r="J334" s="1"/>
  <c r="I18" i="19"/>
  <c r="J18" s="1"/>
  <c r="H8"/>
  <c r="E27" i="17"/>
  <c r="E26" s="1"/>
  <c r="E25" s="1"/>
  <c r="I35"/>
  <c r="J35" s="1"/>
  <c r="H129"/>
  <c r="H125" s="1"/>
  <c r="E125"/>
  <c r="E124" s="1"/>
  <c r="E123" s="1"/>
  <c r="I359"/>
  <c r="H31"/>
  <c r="I32"/>
  <c r="J32" s="1"/>
  <c r="I507"/>
  <c r="J507" s="1"/>
  <c r="H503"/>
  <c r="H192"/>
  <c r="I193"/>
  <c r="J193" s="1"/>
  <c r="I431"/>
  <c r="J431" s="1"/>
  <c r="H430"/>
  <c r="I358"/>
  <c r="H354"/>
  <c r="I354" s="1"/>
  <c r="I948" i="14"/>
  <c r="J948" s="1"/>
  <c r="I331"/>
  <c r="J331" s="1"/>
  <c r="I1015"/>
  <c r="J1015" s="1"/>
  <c r="E944"/>
  <c r="E795"/>
  <c r="I23" i="16"/>
  <c r="J23" s="1"/>
  <c r="I18"/>
  <c r="J18" s="1"/>
  <c r="I12" i="14"/>
  <c r="J12" s="1"/>
  <c r="I678"/>
  <c r="J678" s="1"/>
  <c r="I16"/>
  <c r="J16" s="1"/>
  <c r="H176"/>
  <c r="H175" s="1"/>
  <c r="H173" s="1"/>
  <c r="I53"/>
  <c r="J53" s="1"/>
  <c r="E10"/>
  <c r="H534"/>
  <c r="I534" s="1"/>
  <c r="J534" s="1"/>
  <c r="I270"/>
  <c r="J270" s="1"/>
  <c r="E28"/>
  <c r="E11"/>
  <c r="H23"/>
  <c r="H18" s="1"/>
  <c r="I18" s="1"/>
  <c r="J18" s="1"/>
  <c r="I644"/>
  <c r="J644" s="1"/>
  <c r="I166"/>
  <c r="J166" s="1"/>
  <c r="H31"/>
  <c r="H30" s="1"/>
  <c r="E675"/>
  <c r="H677"/>
  <c r="I677" s="1"/>
  <c r="J677" s="1"/>
  <c r="I915"/>
  <c r="J915" s="1"/>
  <c r="H914"/>
  <c r="I914" s="1"/>
  <c r="J914" s="1"/>
  <c r="I308"/>
  <c r="J308" s="1"/>
  <c r="E531"/>
  <c r="I947"/>
  <c r="J947" s="1"/>
  <c r="H946"/>
  <c r="I307"/>
  <c r="J307" s="1"/>
  <c r="H305"/>
  <c r="I305" s="1"/>
  <c r="J305" s="1"/>
  <c r="H876"/>
  <c r="I881"/>
  <c r="J881" s="1"/>
  <c r="H430"/>
  <c r="I798"/>
  <c r="J798" s="1"/>
  <c r="H797"/>
  <c r="E173"/>
  <c r="I384"/>
  <c r="J384" s="1"/>
  <c r="H1235" i="20" l="1"/>
  <c r="I1236"/>
  <c r="J1236" s="1"/>
  <c r="I28" i="19"/>
  <c r="J28" s="1"/>
  <c r="E8" i="17"/>
  <c r="E24"/>
  <c r="I129"/>
  <c r="H27"/>
  <c r="I31"/>
  <c r="J31" s="1"/>
  <c r="I430"/>
  <c r="J430" s="1"/>
  <c r="H426"/>
  <c r="I11"/>
  <c r="I125"/>
  <c r="H124"/>
  <c r="I503"/>
  <c r="J503" s="1"/>
  <c r="H502"/>
  <c r="H191"/>
  <c r="I192"/>
  <c r="J192" s="1"/>
  <c r="I9"/>
  <c r="I175" i="14"/>
  <c r="J175" s="1"/>
  <c r="I176"/>
  <c r="J176" s="1"/>
  <c r="I11" i="16"/>
  <c r="J11" s="1"/>
  <c r="I23" i="14"/>
  <c r="J23" s="1"/>
  <c r="H11"/>
  <c r="I11" s="1"/>
  <c r="J11" s="1"/>
  <c r="H533"/>
  <c r="H531" s="1"/>
  <c r="I531" s="1"/>
  <c r="J531" s="1"/>
  <c r="I31"/>
  <c r="J31" s="1"/>
  <c r="H675"/>
  <c r="I675" s="1"/>
  <c r="J675" s="1"/>
  <c r="I797"/>
  <c r="J797" s="1"/>
  <c r="H795"/>
  <c r="I795" s="1"/>
  <c r="J795" s="1"/>
  <c r="I430"/>
  <c r="J430" s="1"/>
  <c r="H429"/>
  <c r="E27"/>
  <c r="E25" s="1"/>
  <c r="E24" s="1"/>
  <c r="I173"/>
  <c r="J173" s="1"/>
  <c r="H875"/>
  <c r="I876"/>
  <c r="J876" s="1"/>
  <c r="H28"/>
  <c r="I30"/>
  <c r="J30" s="1"/>
  <c r="I946"/>
  <c r="J946" s="1"/>
  <c r="H944"/>
  <c r="I944" s="1"/>
  <c r="J944" s="1"/>
  <c r="I1235" i="20" l="1"/>
  <c r="J1235" s="1"/>
  <c r="H1074"/>
  <c r="H26" i="17"/>
  <c r="I27"/>
  <c r="J27" s="1"/>
  <c r="I191"/>
  <c r="J191" s="1"/>
  <c r="H187"/>
  <c r="H123"/>
  <c r="I124"/>
  <c r="I502"/>
  <c r="J502" s="1"/>
  <c r="H498"/>
  <c r="I426"/>
  <c r="J426" s="1"/>
  <c r="H425"/>
  <c r="I533" i="14"/>
  <c r="J533" s="1"/>
  <c r="H10"/>
  <c r="I28"/>
  <c r="J28" s="1"/>
  <c r="I429"/>
  <c r="J429" s="1"/>
  <c r="H427"/>
  <c r="I427" s="1"/>
  <c r="J427" s="1"/>
  <c r="H873"/>
  <c r="I873" s="1"/>
  <c r="J873" s="1"/>
  <c r="I875"/>
  <c r="J875" s="1"/>
  <c r="E128" i="4"/>
  <c r="E127"/>
  <c r="E126"/>
  <c r="E124"/>
  <c r="E123"/>
  <c r="E122"/>
  <c r="E121"/>
  <c r="E120"/>
  <c r="E117"/>
  <c r="E116"/>
  <c r="E118" s="1"/>
  <c r="E112"/>
  <c r="E113"/>
  <c r="E114" s="1"/>
  <c r="E111"/>
  <c r="E108"/>
  <c r="E107"/>
  <c r="E102"/>
  <c r="E103" s="1"/>
  <c r="E99"/>
  <c r="E100" s="1"/>
  <c r="E98"/>
  <c r="E97"/>
  <c r="E94"/>
  <c r="E93"/>
  <c r="E92"/>
  <c r="E89"/>
  <c r="E88"/>
  <c r="E87"/>
  <c r="E82"/>
  <c r="E84" s="1"/>
  <c r="E85" s="1"/>
  <c r="E79"/>
  <c r="E78"/>
  <c r="E77"/>
  <c r="E74"/>
  <c r="E73"/>
  <c r="E72"/>
  <c r="I1074" i="20" l="1"/>
  <c r="J1074" s="1"/>
  <c r="H1072"/>
  <c r="H973" s="1"/>
  <c r="H25" i="19"/>
  <c r="I27"/>
  <c r="J27" s="1"/>
  <c r="H25" i="17"/>
  <c r="I25" s="1"/>
  <c r="J25" s="1"/>
  <c r="I26"/>
  <c r="J26" s="1"/>
  <c r="I10"/>
  <c r="J10" s="1"/>
  <c r="H8"/>
  <c r="I123"/>
  <c r="I187"/>
  <c r="J187" s="1"/>
  <c r="H186"/>
  <c r="I425"/>
  <c r="J425" s="1"/>
  <c r="H424"/>
  <c r="I424" s="1"/>
  <c r="J424" s="1"/>
  <c r="I498"/>
  <c r="J498" s="1"/>
  <c r="H497"/>
  <c r="H27" i="14"/>
  <c r="I10"/>
  <c r="J10" s="1"/>
  <c r="H8"/>
  <c r="E129" i="4"/>
  <c r="E109"/>
  <c r="E95"/>
  <c r="E90"/>
  <c r="E80"/>
  <c r="E75"/>
  <c r="I973" i="20" l="1"/>
  <c r="J973" s="1"/>
  <c r="H56"/>
  <c r="H24" i="19"/>
  <c r="I24" s="1"/>
  <c r="J24" s="1"/>
  <c r="I25"/>
  <c r="J25" s="1"/>
  <c r="I497" i="17"/>
  <c r="J497" s="1"/>
  <c r="H496"/>
  <c r="I496" s="1"/>
  <c r="J496" s="1"/>
  <c r="I186"/>
  <c r="J186" s="1"/>
  <c r="H185"/>
  <c r="H25" i="14"/>
  <c r="I27"/>
  <c r="J27" s="1"/>
  <c r="E70" i="4"/>
  <c r="E66"/>
  <c r="E67"/>
  <c r="E65"/>
  <c r="I56" i="20" l="1"/>
  <c r="J56" s="1"/>
  <c r="H54"/>
  <c r="I185" i="17"/>
  <c r="J185" s="1"/>
  <c r="H24"/>
  <c r="I24" s="1"/>
  <c r="J24" s="1"/>
  <c r="H24" i="14"/>
  <c r="I25"/>
  <c r="J25" s="1"/>
  <c r="E68" i="4"/>
  <c r="I54" i="20" l="1"/>
  <c r="J54" s="1"/>
  <c r="I53"/>
  <c r="J53" s="1"/>
  <c r="J24" i="14"/>
  <c r="E59" i="4" l="1"/>
  <c r="E60"/>
  <c r="E58"/>
  <c r="E57"/>
  <c r="E54"/>
  <c r="E53"/>
  <c r="E61" l="1"/>
  <c r="E55"/>
  <c r="H28" i="3"/>
  <c r="D13" i="7"/>
  <c r="D5"/>
  <c r="D6"/>
  <c r="D7"/>
  <c r="D8"/>
  <c r="D9"/>
  <c r="D10"/>
  <c r="D11"/>
  <c r="D12"/>
  <c r="D4"/>
  <c r="A5"/>
  <c r="A6" s="1"/>
  <c r="A7" s="1"/>
  <c r="A8" s="1"/>
  <c r="A9" s="1"/>
  <c r="A10" s="1"/>
  <c r="A11" s="1"/>
  <c r="A12" s="1"/>
  <c r="D14" l="1"/>
  <c r="D1" s="1"/>
  <c r="E46" i="4"/>
  <c r="E45"/>
  <c r="E47" s="1"/>
  <c r="E41"/>
  <c r="E40"/>
  <c r="E37"/>
  <c r="E36"/>
  <c r="G38" i="3"/>
  <c r="E27" i="4"/>
  <c r="E26"/>
  <c r="E22"/>
  <c r="E21"/>
  <c r="E16"/>
  <c r="E15"/>
  <c r="E11"/>
  <c r="E10"/>
  <c r="E6"/>
  <c r="E5"/>
  <c r="E38" l="1"/>
  <c r="E23"/>
  <c r="E24" s="1"/>
  <c r="E42"/>
  <c r="E49" s="1"/>
  <c r="E7"/>
  <c r="E28"/>
  <c r="E17"/>
  <c r="E18" s="1"/>
  <c r="E12"/>
  <c r="E30" l="1"/>
  <c r="F9" i="3" l="1"/>
  <c r="E46"/>
  <c r="F46"/>
  <c r="G46"/>
  <c r="H46"/>
  <c r="E43"/>
  <c r="F43"/>
  <c r="F41" s="1"/>
  <c r="G43"/>
  <c r="G41" s="1"/>
  <c r="E28"/>
  <c r="I28" s="1"/>
  <c r="J28" s="1"/>
  <c r="G28"/>
  <c r="H27"/>
  <c r="D28"/>
  <c r="D27" s="1"/>
  <c r="D9" s="1"/>
  <c r="D46"/>
  <c r="D43"/>
  <c r="D41" s="1"/>
  <c r="D9" i="20" l="1"/>
  <c r="D9" i="16"/>
  <c r="I46" i="3"/>
  <c r="J46" s="1"/>
  <c r="H42"/>
  <c r="E42"/>
  <c r="E41" s="1"/>
  <c r="E10" s="1"/>
  <c r="I43"/>
  <c r="J43" s="1"/>
  <c r="E27"/>
  <c r="G27"/>
  <c r="G9" s="1"/>
  <c r="H9"/>
  <c r="G9" i="20" l="1"/>
  <c r="G9" i="16"/>
  <c r="E10" i="20"/>
  <c r="E10" i="16"/>
  <c r="H9" i="20"/>
  <c r="H9" i="16"/>
  <c r="E24" i="3"/>
  <c r="I42"/>
  <c r="J42" s="1"/>
  <c r="H41"/>
  <c r="I27"/>
  <c r="J27" s="1"/>
  <c r="E9"/>
  <c r="H10" l="1"/>
  <c r="H24"/>
  <c r="I9" i="20"/>
  <c r="J9" s="1"/>
  <c r="E8" i="3"/>
  <c r="E5" i="14" s="1"/>
  <c r="E9" i="20"/>
  <c r="E8" s="1"/>
  <c r="E9" i="16"/>
  <c r="E8" s="1"/>
  <c r="I9" i="3"/>
  <c r="J9" s="1"/>
  <c r="I41"/>
  <c r="J41" s="1"/>
  <c r="I9" i="16" l="1"/>
  <c r="J9" s="1"/>
  <c r="H10" i="20"/>
  <c r="H10" i="16"/>
  <c r="I24" i="3"/>
  <c r="J24" s="1"/>
  <c r="I10"/>
  <c r="J10" s="1"/>
  <c r="H8"/>
  <c r="I10" i="16" l="1"/>
  <c r="J10" s="1"/>
  <c r="H8"/>
  <c r="I8" s="1"/>
  <c r="J8" s="1"/>
  <c r="I10" i="20"/>
  <c r="J10" s="1"/>
  <c r="H8"/>
  <c r="I8" s="1"/>
  <c r="J8" s="1"/>
</calcChain>
</file>

<file path=xl/comments1.xml><?xml version="1.0" encoding="utf-8"?>
<comments xmlns="http://schemas.openxmlformats.org/spreadsheetml/2006/main">
  <authors>
    <author>User</author>
  </authors>
  <commentList>
    <comment ref="H4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ประสานกับ ผอ.งานคลังและผอ.กจ. เมื่อวันที่ 3 ธ.ค. 58 ไม่มีคนตั้งและบอกไม่ใช่หน้าที่ กยผ. เลยกำหนดตัวเลขขึ้นเอง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H4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ประสานกับ ผอ.งานคลังและผอ.กจ. เมื่อวันที่ 3 ธ.ค. 58 ไม่มีคนตั้งและบอกไม่ใช่หน้าที่ กยผ. เลยกำหนดตัวเลขขึ้นเอง
</t>
        </r>
      </text>
    </comment>
  </commentList>
</comments>
</file>

<file path=xl/sharedStrings.xml><?xml version="1.0" encoding="utf-8"?>
<sst xmlns="http://schemas.openxmlformats.org/spreadsheetml/2006/main" count="4000" uniqueCount="1039">
  <si>
    <t>รวมทั้งสิ้น</t>
  </si>
  <si>
    <t>1. งบบุคลากร</t>
  </si>
  <si>
    <t xml:space="preserve"> - อัตราเดิม</t>
  </si>
  <si>
    <t xml:space="preserve"> - อัตราใหม่</t>
  </si>
  <si>
    <t>2. งบดำเนินงาน</t>
  </si>
  <si>
    <t>2.1 ค่าตอบแทน ใช้สอยและวัสดุ</t>
  </si>
  <si>
    <t>ปี 2559</t>
  </si>
  <si>
    <t>ปี 2560</t>
  </si>
  <si>
    <t>ปริมาณ</t>
  </si>
  <si>
    <t>หน่วยนับ</t>
  </si>
  <si>
    <t>เงิน</t>
  </si>
  <si>
    <t>คำชี้แจง</t>
  </si>
  <si>
    <t>รายการ</t>
  </si>
  <si>
    <t>หน่วยล้านบาท (ทศนิยม 4 ตำแหน่ง)</t>
  </si>
  <si>
    <t>1.1 เงินเดือนและค่าจ้างประจำ</t>
  </si>
  <si>
    <t>1.1.1 เงินเดือน</t>
  </si>
  <si>
    <t>1.1.2 ค่าจ้างประจำ</t>
  </si>
  <si>
    <t>(1)........................</t>
  </si>
  <si>
    <t>(2).......................</t>
  </si>
  <si>
    <t>รายการไม่ผูกพัน</t>
  </si>
  <si>
    <t>รายการผูกพันฯ ใหม่</t>
  </si>
  <si>
    <t>(1).......................</t>
  </si>
  <si>
    <t>รายการผูกพันฯ ตามสัญญาและ มาตรา 23</t>
  </si>
  <si>
    <t>(1)................(แสดงรายการภาระผูกพัน).....</t>
  </si>
  <si>
    <t>ตัวชี้วัดเชิงปริมาณ :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</si>
  <si>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มติคณะรัฐมนตรี (ชุดปัจจุบัน)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</si>
  <si>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นโยบายสำคัญของรัฐบาล</t>
    </r>
  </si>
  <si>
    <t>เพิ่ม/ลด</t>
  </si>
  <si>
    <t>ร้อยละ</t>
  </si>
  <si>
    <t xml:space="preserve"> 1. งบบุคลากร</t>
  </si>
  <si>
    <t xml:space="preserve"> 2. งบดำเนินงาน</t>
  </si>
  <si>
    <t xml:space="preserve"> 3. งบลงทุน</t>
  </si>
  <si>
    <t xml:space="preserve"> 4. งบเงินอุดหนุน</t>
  </si>
  <si>
    <t xml:space="preserve"> - งบดำเนินงาน</t>
  </si>
  <si>
    <t xml:space="preserve"> - งบลงทุน</t>
  </si>
  <si>
    <t xml:space="preserve"> - งบเงินอุดหนุน</t>
  </si>
  <si>
    <t xml:space="preserve"> - งบรายจ่ายอื่น</t>
  </si>
  <si>
    <t xml:space="preserve"> 5. งบรายจ่ายอื่น</t>
  </si>
  <si>
    <t>1. งบดำเนินงาน</t>
  </si>
  <si>
    <t xml:space="preserve">1.2 ค่าจ้างชั่วคราวในต่างประเทศ </t>
  </si>
  <si>
    <t xml:space="preserve">1.3 ค่าตอบแทนพนักงานราชการ </t>
  </si>
  <si>
    <t>1.1 ค่าตอบแทน ใช้สอยและวัสดุ</t>
  </si>
  <si>
    <t>1.1.1 ค่าตอบแทน</t>
  </si>
  <si>
    <t>1.1.2 ค่าใช้สอย</t>
  </si>
  <si>
    <t>1.1.3 ค่าวัสดุ</t>
  </si>
  <si>
    <t>1.2 ค่าสาธารณูปโภค</t>
  </si>
  <si>
    <t>2. งบลงทุน</t>
  </si>
  <si>
    <t>2.1 ค่าครุภัณฑ์</t>
  </si>
  <si>
    <t>2.1.1 ครุภัณฑ์...(ระบุประเภท).....</t>
  </si>
  <si>
    <t>2.2 ค่าที่ดินและสิ่งก่อสร้าง</t>
  </si>
  <si>
    <t>2.2.1 ค่าที่ดิน/สิ่งก่อสร้าง...(ระบุประเภท).....</t>
  </si>
  <si>
    <t>2.2.1 ค่าที่ดิน/สิ่งก่อสร้าง..(ระบุประเภท)....</t>
  </si>
  <si>
    <t>3.1 เงินอุดหนุนทั่วไป</t>
  </si>
  <si>
    <t>3. งบเงินอุดหนุน</t>
  </si>
  <si>
    <t xml:space="preserve"> (ให้แสดงค่าใช้จ่ายตามแบบงบดำเนินงาน และงบลงทุนที่กำหนดข้างต้น)</t>
  </si>
  <si>
    <t>3.2 เงินอุดหนุนเฉพาะกิจ</t>
  </si>
  <si>
    <t>4. งบรายจ่ายอื่น</t>
  </si>
  <si>
    <t xml:space="preserve"> - เงินอื่นๆ ที่จ่ายควบกับเงินเดือน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</si>
  <si>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ข้อสั่งการของนายกรัฐมนตรี</t>
    </r>
  </si>
  <si>
    <t xml:space="preserve"> (ให้แสดงค่าใช้จ่ายตามแบบงบบุคลากรและงบดำเนินงานที่กำหนดข้างต้น)</t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</si>
  <si>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นโยบายความมั่นคงแห่งชาติ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</si>
  <si>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อื่นๆ ............(ระบุ)................</t>
    </r>
  </si>
  <si>
    <r>
      <rPr>
        <b/>
        <sz val="25"/>
        <rFont val="TH SarabunPSK"/>
        <family val="2"/>
      </rPr>
      <t>O</t>
    </r>
    <r>
      <rPr>
        <b/>
        <sz val="14"/>
        <rFont val="TH SarabunPSK"/>
        <family val="2"/>
      </rPr>
      <t xml:space="preserve"> นโยบายสำคัญของ คสช.</t>
    </r>
  </si>
  <si>
    <t>แบบข้อเสนองบประมาณรายจ่ายประจำปีงบประมาณ พ.ศ. 2560 (เบื้องต้น)</t>
  </si>
  <si>
    <t>แผนงานบุคลากรภาครัฐ</t>
  </si>
  <si>
    <t>หมายเหตุ</t>
  </si>
  <si>
    <t>แผนงานพื้นฐาน</t>
  </si>
  <si>
    <t>แผนงานยุทธศาสตร์</t>
  </si>
  <si>
    <r>
      <t>ที่มาของกิจกรรม</t>
    </r>
    <r>
      <rPr>
        <b/>
        <vertAlign val="superscript"/>
        <sz val="14"/>
        <rFont val="TH SarabunPSK"/>
        <family val="2"/>
      </rPr>
      <t>1</t>
    </r>
    <r>
      <rPr>
        <b/>
        <sz val="14"/>
        <rFont val="TH SarabunPSK"/>
        <family val="2"/>
      </rPr>
      <t xml:space="preserve"> :</t>
    </r>
  </si>
  <si>
    <r>
      <t>ค่าจ้างเหมาบุคลากรช่วยปฏิบัติงาน
(งานดำเนินการเอง)</t>
    </r>
    <r>
      <rPr>
        <vertAlign val="superscript"/>
        <sz val="14"/>
        <rFont val="TH SarabunPSK"/>
        <family val="2"/>
      </rPr>
      <t>2</t>
    </r>
  </si>
  <si>
    <r>
      <t>1.ที่มาของกิจกรรม</t>
    </r>
    <r>
      <rPr>
        <b/>
        <sz val="14"/>
        <color rgb="FF000000"/>
        <rFont val="TH SarabunPSK"/>
        <family val="2"/>
      </rPr>
      <t xml:space="preserve">  </t>
    </r>
    <r>
      <rPr>
        <sz val="14"/>
        <color rgb="FF000000"/>
        <rFont val="TH SarabunPSK"/>
        <family val="2"/>
      </rPr>
      <t>ให้ระบุที่มาของกิจกรรม หรือความจำเป็นที่ต้องดำเนินการกิจกรรม โดยเลือกหัวข้อที่สำคัญที่สุดเพียงหัวข้อเดียว</t>
    </r>
  </si>
  <si>
    <t>ไม่รวมค่าจ้างเหมาเอกชนในลักษณะ outsource</t>
  </si>
  <si>
    <t xml:space="preserve"> - งบบุคลากร</t>
  </si>
  <si>
    <r>
      <rPr>
        <b/>
        <u/>
        <sz val="14"/>
        <color rgb="FF000000"/>
        <rFont val="TH SarabunPSK"/>
        <family val="2"/>
      </rPr>
      <t>2. ค่าจ้างเหมาบุคลากรช่วยปฏิบัติงาน</t>
    </r>
    <r>
      <rPr>
        <b/>
        <sz val="14"/>
        <color rgb="FF000000"/>
        <rFont val="TH SarabunPSK"/>
        <family val="2"/>
      </rPr>
      <t xml:space="preserve">  </t>
    </r>
    <r>
      <rPr>
        <sz val="14"/>
        <color rgb="FF000000"/>
        <rFont val="TH SarabunPSK"/>
        <family val="2"/>
      </rPr>
      <t xml:space="preserve">ให้แสดงรายละเอียดค่าจ้างเหมาบุคลากรช่วยปฏิบัติงาน โดยระบุรายการและจำนวนอัตรา (แยกออกจากค่าจ้างเหมาบริการ) เฉพาะงานที่ส่วนราชการเป็นผู้จ้างเหมาโดยตรง </t>
    </r>
  </si>
  <si>
    <t>แผนงานรอง............</t>
  </si>
  <si>
    <t>2.1.2 ค่าใช้สอย</t>
  </si>
  <si>
    <t>(1) เงินสมทบกองทุนประกันสังคม</t>
  </si>
  <si>
    <t>รายการบุคลากรภาครัฐ /รายการงบกลาง...</t>
  </si>
  <si>
    <t>กระทรวง : การพัฒนาสังคมและความมั่นคงของมนุษย์</t>
  </si>
  <si>
    <t>หน่วยงาน : กรมกิจการเด็กและเยาวชน</t>
  </si>
  <si>
    <t>อัตรา</t>
  </si>
  <si>
    <t>แผนงานรองบุคลากรภาครัฐเสริมสร้างสวัสดิการสังคมและยกระดับคุณภาพชีวิต</t>
  </si>
  <si>
    <t>ตัวชี้วัดเชิงปริมาณ : จำนวนเด็กและเยาวชนที่ได้รับการคุ้มครองและพิทักษ์สิทธิ</t>
  </si>
  <si>
    <t>ผลผลิต/โครงการ : เด็กและเยาวชนได้รับการพัฒนาและคุ้มครองพิทักษ์สิทธิ</t>
  </si>
  <si>
    <t>(4) ค่าจ้างเหมาบริการ</t>
  </si>
  <si>
    <t>(1) ค่าเบี้ยเลี้ยง ค่าเช่าที่พัก และค่าพาหนะ</t>
  </si>
  <si>
    <t>(2) ค่าจ้างเหมาบริการ</t>
  </si>
  <si>
    <t>(3) ค่าใช้จ่ายในการสัมนาและฝึกอบรม</t>
  </si>
  <si>
    <t>(4) ค่าใช้จ่ายในการจัดประชุม</t>
  </si>
  <si>
    <t>(5) ค่าใช้จ่ายในการจัดกิจกรรมด้านการคุ้มครองเด็กและเยาวชน</t>
  </si>
  <si>
    <t>(1) ค่าวัสดุสำนักงาน</t>
  </si>
  <si>
    <t>(2) ค่าวัสดุเชื้อเพลิงและหล่อลื่น</t>
  </si>
  <si>
    <t>(1) ค่าไปรษณีย์</t>
  </si>
  <si>
    <t>4.1 ค่าใช้จ่ายในการขับเคลื่อนยุทธศาสตร์ด้านการป้องกันและแก้ไขปัญหาความรุนแรงต่อเด็กและเยาวชนในระดับจังวหัด</t>
  </si>
  <si>
    <t xml:space="preserve">ตัวชี้วัดเชิงปริมาณ : </t>
  </si>
  <si>
    <t>(1) ค่าเช่าบ้าน</t>
  </si>
  <si>
    <t>(4) ค่าตอบแทนผู้ปฏิบัติงานนอกเวลาราชการ</t>
  </si>
  <si>
    <t>(5) ค่าตอบแทนเหมาจ่ายแทนการจัดหารถประจำตำแหน่ง</t>
  </si>
  <si>
    <t>(2) ค่าซ่อมแซมยานพาหนะและขนส่ง</t>
  </si>
  <si>
    <t>(3) ค่าซ่อมแซมครุภัณฑ์</t>
  </si>
  <si>
    <t>(4) ค่าซ่อมแซมสิ่งก่อสร้าง</t>
  </si>
  <si>
    <t>(5) ค่าเช่าทรัพย์สิน (ที่ดิน)</t>
  </si>
  <si>
    <t>(6) ค่าจ้างเหมาบริการ</t>
  </si>
  <si>
    <t>(7) ค่าใช้จ่ายในการสัมนาและฝึกอบรม</t>
  </si>
  <si>
    <t>(8) ค่าธรรมเนียม</t>
  </si>
  <si>
    <t>(9) ค่าใช้จ่ายในการจัดประชุม</t>
  </si>
  <si>
    <t>(1) ค่าโทรศัพท์</t>
  </si>
  <si>
    <t>(2) ค่าน้ำประปา</t>
  </si>
  <si>
    <t>(3) ค่าไปรษณีย์</t>
  </si>
  <si>
    <t>(4)  ค่าไฟฟ้า</t>
  </si>
  <si>
    <t>2.1.1 ครุภัณฑ์</t>
  </si>
  <si>
    <t>(5)  ค่าบริการ UBC</t>
  </si>
  <si>
    <t>(1) ค่าตอบแทนผู้ปฏิบัติงานให้ราชการ</t>
  </si>
  <si>
    <t>(2) ค่าเบี้ยประชุมกรรมาการ</t>
  </si>
  <si>
    <t>(3) ค่าตอบแทนผู้ปฏิบัติงานนอกเวลาราชการ</t>
  </si>
  <si>
    <t>(3) ค่าหนังสือ วารสาร และตำรา</t>
  </si>
  <si>
    <t>4.1 ค่าใช้จ่ายโครงการส่งเสริมการดำเนินงานอนุสัญญาว่าด้วยสิทธิเด็ก</t>
  </si>
  <si>
    <t>4.2 ค่าใช้จ่ายโครงการขับเคลื่อนนโยบายระดับชาติและสหประชาชาติ</t>
  </si>
  <si>
    <t>4.3 ค่าใช้จ่ายโครงการติดตามประเมินผลการดำเนินงานขององค์การ</t>
  </si>
  <si>
    <t>4.4 ค่าใช้จ่ายในการศึกษาเพื่อพัฒนาระบบฐานข้อมูลกลางกลุ่มเป้าหมายเพื่อเฝ้าระวังเตือนภัยทางสังคม</t>
  </si>
  <si>
    <t>(5) ค่าใช้จ่ายในการจัดกิจกรรมส่งเสริมและพัฒนาคุณภาพชีวิตเด็กและเยาวชน</t>
  </si>
  <si>
    <t xml:space="preserve"> 1) เงินอุดหนุนกองทุนเยาวชนอาเซียน</t>
  </si>
  <si>
    <t>4.1 ค่าใช้จ่ายโครงการความร่วมมมือระหว่างประเทศเพื่อพัฒนาเด็กและเยาวชน</t>
  </si>
  <si>
    <t>4.2 ค่าใช้จ่ายในการศึกษาและจัดทำรูปแบบการพัฒนาเด็ก 6 มิติ</t>
  </si>
  <si>
    <t>4.3 ค่าใช้จ่ายในการพัฒนาศักยภาพเด็กมูลนิธีนักเรียนทุนการศึกษาพระราชทานสมเด็จพระบรมโอสาธิราชฯ สยามมกุฎราชกุมาร (มทศ.)</t>
  </si>
  <si>
    <t>1. กิจกรรม : การพัฒนาระบบบริหารจัดการองค์การ</t>
  </si>
  <si>
    <t>2. กิจกรรม : การสร้างมาตรการ กลไก ด้านเด็กและเยาวชน</t>
  </si>
  <si>
    <t>3. กิจกรรม : การส่งเสริมศักยภาพเด็กและเยาวชน</t>
  </si>
  <si>
    <t>4. กิจกรรม : การคุ้มครองสิทธิเด็กและเยาวชน</t>
  </si>
  <si>
    <t>5. กิจกรรม : การบริการสวัสดิการสังคม</t>
  </si>
  <si>
    <t>(2) ค่าเช่าบ้าน</t>
  </si>
  <si>
    <t>(5) ค่าเช่าที่ดิน</t>
  </si>
  <si>
    <t>(5) ค่าใช้จ่ายในการส่งเสริมความรู้และฝึกอาชีพ</t>
  </si>
  <si>
    <t>(7) ค่าใช้จ่ายในการส่งเสริมความรู้และฝึกอาชีพ</t>
  </si>
  <si>
    <t>(3) ค่าวัสดุก่อสร้าง</t>
  </si>
  <si>
    <t>(4) ค่าวัสดุงานบ้านงานครัว</t>
  </si>
  <si>
    <t>(5) ค่าวัสดุเวชภัณฑ์</t>
  </si>
  <si>
    <t>(6) ค่าวัสดุการศึกษา</t>
  </si>
  <si>
    <t>(6) ค่าวัสดุอาหาร</t>
  </si>
  <si>
    <t>(7) ค่าวัสดุอาหาร</t>
  </si>
  <si>
    <t>(8) ค่าวัสดุการเกษตร</t>
  </si>
  <si>
    <t>(9) ค่าวัสดุฝึกอาชีพ</t>
  </si>
  <si>
    <t>(10) ค่าใช้จ่ายผู้รับการสงเคราะห์</t>
  </si>
  <si>
    <t xml:space="preserve">  1) เงินอุดหนุนสงเคราะห์เด็กในครอบครัวช่วยเหลือเด็กขาดแคลนและสงเคราะห์เด็กฝากเลี้ยงตามบ้าน</t>
  </si>
  <si>
    <t>6. กิจกรรม :  การเสริมสร้างทักษะและประสบการณ์ชีวิตแก่เด็ก</t>
  </si>
  <si>
    <t>(2) ซ่อมแซมครุภัณฑ์</t>
  </si>
  <si>
    <t>(3) ค่าซ่อมแซมสิ่งก่อสร้าง</t>
  </si>
  <si>
    <t>(7) ค่าวัสดุหนังสือ วารสาร และตำรา</t>
  </si>
  <si>
    <t>7. กิจกรรม : การคุ้มครองและพัฒนาเด็กในครอบครัวทดแทน</t>
  </si>
  <si>
    <t>(2) ค่าเบี้ยประชุมกรรมการ</t>
  </si>
  <si>
    <t>(3) ซ่อมแซมครุภัณฑ์</t>
  </si>
  <si>
    <t>(2) ซ่อมแซมยานพาหนะและขนส่ง</t>
  </si>
  <si>
    <t>(5) ค่ารับรองและพิธีการ</t>
  </si>
  <si>
    <t>(6) ค่าธรรมเนียม</t>
  </si>
  <si>
    <t>1) เงินอุดหนุนช่วยเหลือค่าเลี้ยงดูเด็กในครอบครัวอุปถัมภ์</t>
  </si>
  <si>
    <t>โครงการ : สนับสนุนการขับเคลื่อนการแก้ไขปัญหาในจังหวัดชายแดนภาคใต้</t>
  </si>
  <si>
    <t>กิจกรรม : การส่งเสริมและพัฒนาศักยภาพและเยาวชนในจังหวัดชายแดนภาคใต้</t>
  </si>
  <si>
    <t>(3) ค่าใช้จ่ายในการฝึกอบรมสัมนา</t>
  </si>
  <si>
    <t>(1) ค่าวัสดุเชื้อเพลิงและหล่อลื่น</t>
  </si>
  <si>
    <t>1. แผนงานยุทธศาสตร์ ขับเคลื่อนการแก้ไขปัญหาในจังหวัดชายแดนภาคใต้</t>
  </si>
  <si>
    <t xml:space="preserve">2. แผนงานยุทธศาสตร์เชื่อมโยงภูมิภาคและเศรษฐกิจโลก </t>
  </si>
  <si>
    <t>โครงการ : ขับเคลื่อนการดำเนินงานตามกรอบความร่วมมืออาเซียน</t>
  </si>
  <si>
    <t>กิจกรรม : การส่งเสริมและพัฒนาศักยภาพเด็กและเยาวชนด้านสังคมวัฒนธรรมอาเซียน</t>
  </si>
  <si>
    <t>(4) ค่าใช้จ่ายในการจัดกิจกรรมด้านสังคม วัมนธรรมอาเซียน</t>
  </si>
  <si>
    <t>3. แผนงานยุทธศาสตร์พัฒนาศักยภาพคนตามช่วงวัย</t>
  </si>
  <si>
    <t>(4) ค่ารับรองและพิธีการ</t>
  </si>
  <si>
    <t>(5) ค่าใข้จ่ายในการจัดประชุม</t>
  </si>
  <si>
    <t>(3) ค่าวัสดุงานบ้านงานครัว</t>
  </si>
  <si>
    <t>(4) ค่าวัสดุการศึกษา</t>
  </si>
  <si>
    <t>(5) ค่าวัสดุหนังสือ วารสาร และตำรา</t>
  </si>
  <si>
    <t>1) เงินอุดหนุนสภาเด็กและเยาวชนระดับอำเภอ จังหวัด กทม.  และระดับชาติในการพัฒนาเครือข่ายเด็ก-เยาวชนสร้างสรรค์สังคม</t>
  </si>
  <si>
    <t xml:space="preserve"> </t>
  </si>
  <si>
    <t>2) เงินอุดหนุนสภาเด็กและเยาวชนเพื่อจัดกิ่จกรรมที่สร้างสรรค์ระดับตำบล</t>
  </si>
  <si>
    <t>3) เงินอุดหนุนเพื่อการเลี้ยงดูเด็กแรกเกิด</t>
  </si>
  <si>
    <t>4) เงินอุดหนุนสถานรับเลี้ยงเด็กและสถานสงเคราะห์เด็กเอกชน</t>
  </si>
  <si>
    <t>2) ค่าใช้จ่ายในการศึกาผลการดำเนินงานการจ่ายเงินอุดหนุนเพื่อการเลี้ยงดูเด็กแรกเกิด</t>
  </si>
  <si>
    <t>กิจกรรม : การเสริมสร้างภูมิคุ้มกันสำหรับเด็กและเยาวชน</t>
  </si>
  <si>
    <t>(4) ค่าใข้จ่ายในการจัดประชุม</t>
  </si>
  <si>
    <t>(5) ค่าใช้จ่ายในการจัดกิจกรรมสร้างภูมิคุ้มกันสำหรับเด็กและเยาวขน</t>
  </si>
  <si>
    <t>4. แผนงานยุทธศาสตร์ป้องกันปราบปรามการทุจริตและประพฤติมิชอบ</t>
  </si>
  <si>
    <t>โครงการ : ป้องกันการทุจริตและประพฤติมิชอบ</t>
  </si>
  <si>
    <t>กิจกรรม : การส่งเสริมเด็กและเยาวชนด้านการป้องกันการทุจริตและประพฤติมิชอบ</t>
  </si>
  <si>
    <t>1) เงินอุดหนุนสภาเด็กและเยาวชนเพื่อจัดกิจกรรมป้องกันและปราบปรามการทุจริตและประพฤติมิขอบ</t>
  </si>
  <si>
    <t>8. กิจกรรม : การบริการจัดการระบบเทคโนโลยีสารสนเทศและการสื่อสาร</t>
  </si>
  <si>
    <t>(1) ค่าวัสดุคอมพิวเตอร์</t>
  </si>
  <si>
    <t>(1) ค่าบริการสื่อสารและโทรคมนาคม</t>
  </si>
  <si>
    <t>แผนงานพื้นฐานด้านการแก้ไขปัญหาความยากจน ลดความเหลื่อมล้ำและสร้างการเติบโตจากภายใน</t>
  </si>
  <si>
    <t>9. กิจกรรม : การจัดบริการเพื่อช่วยเหลือและคุ้มครอง</t>
  </si>
  <si>
    <t>(6) ค่าวัสดุหนังสือ วารสาร และตำรา</t>
  </si>
  <si>
    <t>(8) ค่าใช้จ่ายผู้รับการสงเคราะห์</t>
  </si>
  <si>
    <t>รายการผูกพันฯ ตามสัญญาและ มาตรา 23 (บพด. 18 แห่ง)</t>
  </si>
  <si>
    <t>ปี 2559 เกษียณ 21 อัตรา และปี 2560 ได้ตั้ง</t>
  </si>
  <si>
    <t>ทดแทนผู้เกษียณ จำนวน 21 อัตรา</t>
  </si>
  <si>
    <t>ชื่อคณะกรรมาธการ+อนุกรรมการ</t>
  </si>
  <si>
    <t>จำนวนครั้ง</t>
  </si>
  <si>
    <t>จำนวนคน</t>
  </si>
  <si>
    <t xml:space="preserve">   ประธาน</t>
  </si>
  <si>
    <t xml:space="preserve">   กรรมการ</t>
  </si>
  <si>
    <t>1. คณะกรรมการการรับเด็กเป็นบุตรบุญธรรมส่วนกลาง จำนวน 15 คน ประชุมเดือนละ ประมาณ 2-3 ครั้ง</t>
  </si>
  <si>
    <t>รวม</t>
  </si>
  <si>
    <t>2. คณะอนุกรรมการการับเด็กเป็นบุตรบุญธรรมส่วนกลาง จำนวน 12 คน ประชุมเดือนละ 1 ครั้ง</t>
  </si>
  <si>
    <t>3. คณะอนุกรรมการการับเด็กเป็นบุตรบุญธรรมประจำจังหวัด 69 จังหวัด  จำนวน 10 คน ประชุม 3 ครั้งต่อปี</t>
  </si>
  <si>
    <t>69 จังหวัด</t>
  </si>
  <si>
    <t>4. คณะอนุกรรมการการับเด็กเป็นบุตรบุญธรรมประจำจังหวัด 6 จังหวัด  จำนวน 11 คน ประชุม 3 ครั้งต่อปี</t>
  </si>
  <si>
    <t>6 จังหวัด</t>
  </si>
  <si>
    <t>**** เนื่องจาก นนทบุรีมีสถานสงเคราะห์ 2 แห่ง ซึ่งตาม พรบ. จะต้องมาเป็นอนุกรรมการฯ</t>
  </si>
  <si>
    <t>5. คณะอนุกรรมการการับเด็กเป็นบุตรบุญธรรมประจำจังหวัดนนทบุรี จำนวน 12 คน ประชุม 3 ครั้งต่อปี  ****</t>
  </si>
  <si>
    <t>รวมงบประมาณทั้งสิ้น</t>
  </si>
  <si>
    <t>1. การดำเนินงานด้านการจัดหาครอบครัวบุญธรรม</t>
  </si>
  <si>
    <r>
      <t xml:space="preserve">ค่าประชุมคณะกรรมการรับเด็กเป็นบุตรบุญธรรม, คณะอนุกรรมการบุตรบุญธรรมสวนกลางและประจำจังหวัด ต้องดำเนินการตาม พรบ.การรับบุตรบุญธรรม พ.ศ. 2522 ม. 9  และ ม. 13   ประกอบด้วย คณะกรรมการ 1 ชุด และอนุกรรมการ 77  ชุด </t>
    </r>
    <r>
      <rPr>
        <b/>
        <sz val="14"/>
        <color rgb="FFC00000"/>
        <rFont val="TH SarabunPSK"/>
        <family val="2"/>
      </rPr>
      <t>(เอกสารแนบ ค่าเบี้ยประชุมคณะกรรมการ)</t>
    </r>
  </si>
  <si>
    <t>(1) ค่าตอบแทนผู้ปฏิบัติงานนอกเวลาราชการ</t>
  </si>
  <si>
    <t>เป็นค่าอาหารทำการนอกเวลาราชการของ จนท. ที่ปฏิบัติงานทั้งวันธรรมดาและวันหยุดราชการกรณีมีงานเร่งด่วน วันธรรมดา 200 บาท * 16 คน * 10 วัน * 10 เดือน / วันนอกเวลาทำการ อัตรา 420 บาท * 16 คน * 3 วัน * 10 เดือน</t>
  </si>
  <si>
    <t>ค่าใช้จ่ายสำหรับเจ้าหน้าที่การเดินทางไปราชการ ติดตามผลกการดำเนินงาน ประสานและเข้าร่วมประชุมทางวิชาการกับหน่วยงานที่เกี่ยวข้อง รวมทั้งการนำผู้แทนองค์กรภาคเอกชนในประเทศและต่างประเทศที่ดำเนินการจัดหาครอบครัวบุญธรรม</t>
  </si>
  <si>
    <t>เป็นค่าซ่อมแซมยานพาหนะและขนส่ง และบำรุง ของรถศูนย์บุตรบุญธรรม 5 คัน * 40,000 บาท/ ค่าซ่อมแซมอื่นๆ 50,000 บาท</t>
  </si>
  <si>
    <t>เป็นค่าซ่อมแซมครุภัณฑ์สำนักงาน เช่น เครื่องอัดสำเนาระบบดิจิตอล เครื่องพิมพ์ โต๊ะ ตู้ เป็นต้น</t>
  </si>
  <si>
    <t>เป็นค่าทางด่วน-โทลเวย์ในการเดินทางไปราชการ เพื่อติดต่อกับหน่วยงานที่เกี่ยวข้องในการปฏิบัติราชการ เช่น กระทรวงการต่างประเทศ สถานสงเคราห์เด็กอ่อนปากเกร็ด สถานสงเคราะห์เด็กอ่อนพญาไท ส่งเอกสารแฟ้มประชุมคณะกรรมการฯ และเยี่ยมบ้านเด็กทุกเดือน</t>
  </si>
  <si>
    <t>2. โครงการอบรมสัมนาเตรียมความพร้อมครอบครัวบุญธรรมชาวต่างประเทศ ซึ่งเป็นการเตรียมความพร้อมครอบครัวบุตรบุญธรรมชาวต่างประเทศที่ขอรับเด็กกำพร้าเป็นบุตรบุญธรรม ตาม พรบ.การรรับบุตรบุญธรรม (ฉบับที่ 3 พ.ศ. 2533)  ซึ่งประกอบด้วยครอบครัวบุญธรรม 50 ครอบครัว (100 คน) จนท 10 คน และวิทยากร 4 คน รวม 114 คน งบประมาณ 386,400 บาท</t>
  </si>
  <si>
    <t>1. โครงการอบรมสัมนาเตรียมความพร้อมครอบครัวบุญธรรมชาวไทย ซึ่งเป็นการเตรียมความพร้อมครอบครัวบุตรบุญธรรมชาวไทยที่ขอรับเด็กกำพร้าเป็นบุตรบุญธรรม ตาม พรบ.การรรับบุตรบุญธรรม (ฉบับที่ 3 พ.ศ. 2533)  ซึ่งประกอบด้วยครอบครัวบุญธรรม 70 ครอบครัว (140 คน) จนท 10 คน และวิทยากร 4 คน  รวม 154 คน งบประมาณ 509,400 บาท</t>
  </si>
  <si>
    <t>3. ค่าใช้จ่ายโครงการอบรมเสริมความรู้แก่ครอบครัวไทยหลังจดทะเบียนรับเด็กเป็นบุตรบุญธรรม เพื่อการติดตามผลการเลี้ยงดูเด็กของครอบครัวชาวไทย  60 ครอบครัว (180 คน) ผู้จัด 10 คน วิทยากร 6 คน รวม 196 คน งบประมาณ 643,600 บาท</t>
  </si>
  <si>
    <t>4. ค่าใช้จ่ายในการจัดประชุมเตรียมความพร้อมครอบครัวบุญธรรมชาวไทย เพื่อเป็นการเตรียมความพร้อมครอบครัวบุญธรรมชาวไทยที่ขอรับเด็กที่บิดามารดามอบให้เป็นบุตรบุญธรรม (ในภูมิภาค) ตาม พรบ. การับเด็กเป็นบุตรบุญธรรม พศ. 2553 (ฉบับที่ 3) ซึงผู้เข้าร่วมโครงการประกอบด้วย ครอบครัวบุญธรรม 200 ครอบครัว (400 คน) ผู้จัด 10 คน วิทยากร 4 คน รวม 414 คน งบประมาณ 1,321,000 บาท</t>
  </si>
  <si>
    <t xml:space="preserve"> - งานเลขานุการคณะกรรมการ 2 คน * 15,000</t>
  </si>
  <si>
    <t xml:space="preserve"> - ฝ่ายบริหาร 1 คน * 15,000</t>
  </si>
  <si>
    <t xml:space="preserve"> - งานรับเด็กบุญธรรมในประเทศ 3 คน * 15,000</t>
  </si>
  <si>
    <t xml:space="preserve"> - งานรับเด็กบุญธรรมในต่างประเทศ 3 * 15,000</t>
  </si>
  <si>
    <t xml:space="preserve"> - กลุ่มติดตามประเมินผลฯ 1 คน * 15,000</t>
  </si>
  <si>
    <t xml:space="preserve"> - งานเลขานุการคณะกรรมการ 1 คน * 9,400</t>
  </si>
  <si>
    <t xml:space="preserve"> - งานรับเด็กบุญธรรมในต่างประเทศ 3 * 9,400</t>
  </si>
  <si>
    <t xml:space="preserve"> - กลุ่มติดตามประเมินผลฯ 1 คน * 9,400</t>
  </si>
  <si>
    <t>จ้างเหมา บุคลากรภายนอกช่วยปฏิบัติงาน 15 คน</t>
  </si>
  <si>
    <t>(7) ค่าใช้จ่ายในการจัดฝึกอบรมและสัมนา</t>
  </si>
  <si>
    <t>(8) ค่าใช้จ่ายในการจัดประชุม</t>
  </si>
  <si>
    <t>ค่าน้ำดื่ม ค่าหนังสือพิมพ์ วัสดุอุปกรณ์สำหรับการดำเนินงานของศูนย์บุตรบุญธรรม</t>
  </si>
  <si>
    <t>ค่าน้ำมันเชื้อเพลิงสำหรับเยี่ยมบ้านผู้ขอรับเด็กเป็นบุตรบุญธรรมทั้งส่วนกลางและส่วนภูมิภาค</t>
  </si>
  <si>
    <t>ค่าหนังสือเอกสารต่างๆ สื่อสิ่งพิมพ์ ให้ความรู้ และความเข้าใจภารกิจด้านการรับเด็กบุญธรรม ที่จะเผยแพร่ให้หน่วยงานและประชาชนทั่วไป</t>
  </si>
  <si>
    <t>ค่าใช้จ่ายในการรับรองเอกอัครราชทูตหรือผู้แทนในประเทศไทยและชาวต่างประเทศที่เป็นผู้แทนหน่วยงานภาครัฐและเอกชนที่เดินทางมาประเทศไทยเพื่อประชุมหรือการให้ความช่วยเหลือด้านการดำเนินงานด้านการรับเด็กเป็นบุตรบุญธรรม</t>
  </si>
  <si>
    <t>1) ค่าใช้จ่ายในการเดินทางไปราชการต่างประเทศชั่วคราว</t>
  </si>
  <si>
    <t xml:space="preserve"> - การประชุมสมาคม Orchidee Familles สาธารณรัฐฝรั่งเศส</t>
  </si>
  <si>
    <t xml:space="preserve"> - การประชุมหน่วยงาน New South Wales Department Of Community Service เครือรัฐออสเตรเลีย</t>
  </si>
  <si>
    <t xml:space="preserve"> - การปรชุมครอบครัวบุญธรรมขององค์การ Parents for Children สหพันธ์สาธารณรัฐเยอรมนี</t>
  </si>
  <si>
    <t>เพื่อหรือรือการดำเนินงานรับบุตรบุญธรรมระหว่างประเทศกับองค์การสวัสดิภาพเด็กของประเทศฝรั่งเศสตามอนุสัญญาว่าดว่ยการคุ้มครองเด็กและความร่วมมือในการรับรองบุตรบุญธรรมระหว่างประเทศ  และการติดตามประเมินผล  595,000 บาท</t>
  </si>
  <si>
    <t>เพื่อหารือการดำเนินงานการรับบุตรบุญธรรมระหว่างประเทศกับองค์การสวัสดิภาพเด็กของประเทศออสเตรเลียตามอนุสัญญาว่าด้วยการคุ้มครองเด็ก่และความร่วมมือในการรับรองบุตรบุญธรรมระหว่างประเทศ และการติดตามประเมินผล  483,500 บาท</t>
  </si>
  <si>
    <t>เพื่อร่วมงานชุมนุมครอบครัวบุญธรรม และกาติดตามผลการเลี้ยงดูเด็กในครอบครัวชาวเยอรมัน 609,400 บาท</t>
  </si>
  <si>
    <t>(เอกสารแนบ เดินทางไปราชการต่างประเทศ)</t>
  </si>
  <si>
    <t xml:space="preserve"> กิจกรรม : การคุ้มครองและพัฒนาเด็กในครอบครัวทดแทน</t>
  </si>
  <si>
    <t>อัตราเดิม 1,376 อัตรา งบประมาณ 293,015,600 บาท</t>
  </si>
  <si>
    <t>ทดแทนผู้เกษียณปี 2560  จำนวน 24 อัตรา ประกอบด้วย ปริญญาตรี 18,000 x 21 อัตรา = 4,536,000 บาท/ ปวส. 13,800 x 3 อัตรา = 496,800  บาท</t>
  </si>
  <si>
    <t xml:space="preserve"> กิจกรรม : การบริหารจัดการองค์การ</t>
  </si>
  <si>
    <t>1. งานปรับปรุงกฎหมาย</t>
  </si>
  <si>
    <t>1.1  อนุกรรมการปรับปรุงกฎหมายเกี่ยวกับเด็กให้เป็นไปตามมาตรฐานของรัฐธรรมนูญและอนุสัญญาว่าด้วยสิทธิเด็ก 29 คน ประชุมเดือนละ 2-3 ครั้ง</t>
  </si>
  <si>
    <t>1.2  อนุกรรมการป้องกัน แก้ไข และขจัดการขาดสารไอโอดีนในเด็กและเยาวชน 31 คน ประชุมเดือนละ 1 ครั้ง</t>
  </si>
  <si>
    <t>1.3 คณะกรรมการสอบข้อเท็จจริงความรับผิดทางละเมิด 7 คณะ ๆ 5 คน เดือนละ 4 ครั้ง</t>
  </si>
  <si>
    <t>ค่าเช่าบ้าน</t>
  </si>
  <si>
    <t>ส่วนกลาง</t>
  </si>
  <si>
    <t>นางนภา  เศรษฐกร</t>
  </si>
  <si>
    <t>นางปุณภา  ไพบูลย์</t>
  </si>
  <si>
    <t>นางสุกัญญา  งามสมภาพ</t>
  </si>
  <si>
    <t>นายอนันญนวิช  อนุศาสสบัน</t>
  </si>
  <si>
    <t>นางธงชัย  มูลพันธ์</t>
  </si>
  <si>
    <t>นางสาวพรปวี  อุไรสวัสดิ์</t>
  </si>
  <si>
    <t>นางสาวกาญจนา  แก้วพวงษ์</t>
  </si>
  <si>
    <t>นางอวยพร  โรจน์นิติพัน</t>
  </si>
  <si>
    <t>นางสาวอัชฌา  เทพสุวรรณ</t>
  </si>
  <si>
    <t xml:space="preserve">   เงินอื่นที่จ่ายควบค่าจ้างประจำ</t>
  </si>
  <si>
    <t>2.1.1 ค่าตอบแทน พิเศษเงินเดือนเต็มขั้น</t>
  </si>
  <si>
    <t>รองอธิบดี 2 ท่าน เนื่องจากอธิบดีมีรถประจำตำแหน่ง</t>
  </si>
  <si>
    <t>(3)  ค่าไฟฟ้า</t>
  </si>
  <si>
    <t>(4) ค่าไปรษณีย์</t>
  </si>
  <si>
    <t xml:space="preserve">ปี 2557 มีผลการเบิกจ่ายค่าสาธารณูปโภค </t>
  </si>
  <si>
    <t xml:space="preserve"> ปี 57 เบิกจ่าย 1.8148 ลบ.</t>
  </si>
  <si>
    <t xml:space="preserve"> ปี 57 เบิกจ่าย .2006</t>
  </si>
  <si>
    <t xml:space="preserve"> ปี 57 เบิกจ่าย 5.1921 ลบ.</t>
  </si>
  <si>
    <t>เบิกจ่าย .05 ลบ.</t>
  </si>
  <si>
    <t>(2) ค่าตอบแทนผู้ปฏิบัติงานให้ราชการ</t>
  </si>
  <si>
    <t>เป็นค่าอาหารทำการนอกเวลาราชการของ จนท. ที่ปฏิบัติงานทั้งวันธรรมดาและวันหยุดราชการกรณีมีกรณีเร่งด่วน</t>
  </si>
  <si>
    <t xml:space="preserve"> เช่น ระบบ PMQA การจัดทำคำรับรองและตัวชี้วัด 22,000</t>
  </si>
  <si>
    <t>(3) ค่าเบี้ยประชุมกรรมการ</t>
  </si>
  <si>
    <t>ค่าจ้างเหมาบริการสำหรับงานสนับสนุน เช่น</t>
  </si>
  <si>
    <t xml:space="preserve"> - ค่าจัดทำโล่รางวัล ประกวดนวตกรรม 6,600 บาท</t>
  </si>
  <si>
    <t xml:space="preserve"> - จ้างเจ้าหน้าทีช่วยปฏิบัตงาน โครงการส่งเสริมการพัฒนาระบบบริหาร ดย. 1 คน 14,000 x 12 ดือน x 1 คน = 168,8000</t>
  </si>
  <si>
    <t xml:space="preserve"> - ค่าจ้างเหมาบริการ โครงการส่งเสริมการพัฒนาระบบบริหาร ดย. 239,100 บาท</t>
  </si>
  <si>
    <t>ค่าใช้จ่ายในการสำรวจพื้นที่และติดตามการดำเนินงาน</t>
  </si>
  <si>
    <t xml:space="preserve"> - โครงการส่งเสริมการพัฒนาระบบบริหาร ดย. 0.4828 ลบ.</t>
  </si>
  <si>
    <t>ค่าใช้จ่ายในการอบรมสัมนา</t>
  </si>
  <si>
    <t xml:space="preserve"> - โครงการส่งเสริมการพัฒนาระบบบริหาร ดย.4.3803 ลบ.</t>
  </si>
  <si>
    <t>ค่าวัสดุในงานสนับสนุน</t>
  </si>
  <si>
    <t xml:space="preserve"> - โครงการส่งเสริมการพัฒนาระบบบริหาร ดย. 0.16630</t>
  </si>
  <si>
    <t>1) ค่าใช้จ่ายในการเดินทางไปราชการต่างประเทศ</t>
  </si>
  <si>
    <t xml:space="preserve">    - การศึกษาดูงานต่างประเทศด้านบริหารจัดการ PMQA</t>
  </si>
  <si>
    <t xml:space="preserve">เพื่อเพิ่มประสิทธิภาพในการขับเคลื่อนงาน PMQA ในการก้าวสู่เกณฑ์คุณภาพการบริหาร (FL) </t>
  </si>
  <si>
    <t xml:space="preserve"> - ค่าตอบแทนกรรมการอ่านผลงานประเมินเลื่อนระดับ คณะละ 3 คน * 1,000 * 50 เล่ม  = 150,000 บาท</t>
  </si>
  <si>
    <t xml:space="preserve">  - กรรมการตัดสินการประกวดนวตกรรม ดย. 6,001</t>
  </si>
  <si>
    <t xml:space="preserve"> - คณะอนุกรรมการปรับปรุงกฎหมายเกียวกับเด็กให้เป็นไปตามาตรฐานของรัฐธรรมนูญและอนุสัญญาว่าด้วยสิทธิเด็ก 29 คน ประชุมเดือนละ 2-3 ครั้ง 877,500 บาท</t>
  </si>
  <si>
    <t xml:space="preserve"> - คณะอนุกรรการป้องกัน แก้ไขและขจัดการขาดสารไอโอดีนในเด็กและเยาวชน 31 คน ประชุมเดือนละ 1 ครั้ง 375,000 บาท</t>
  </si>
  <si>
    <t xml:space="preserve"> - คณะกรรมการการสอบ่ข้อเท็จจริงความรับผิดทางละเมิด 7 คณะ ๆ ละ 5 คน ประชุม 4 ครั้ง 176,400 บาท</t>
  </si>
  <si>
    <t>2. โครงการบริหารและพัฒนาทรัพยากรบุคคลสู่ความเป็นเลิศ</t>
  </si>
  <si>
    <t>2.1 คณะกรรมการคุ้มครองจริยธรรม</t>
  </si>
  <si>
    <t>2.2 คณะอนุกรรมการ อกพ. กรม</t>
  </si>
  <si>
    <t xml:space="preserve">   เลขานุการ</t>
  </si>
  <si>
    <t xml:space="preserve">   ผู้ช่วยเลขานุการ</t>
  </si>
  <si>
    <t xml:space="preserve"> -  คณะกรรมการคุ้มครองจริยธรรม 4 ครั้ง จำนวน 7 คน 34,800 บาท</t>
  </si>
  <si>
    <t xml:space="preserve"> - คณะอนุกรรมการ อกพ. กรม 2 ครั้ง 12 คน 26,750</t>
  </si>
  <si>
    <t xml:space="preserve"> - งานเผยแพร่ประชาสัมพันธ์องค์กร 60,000 </t>
  </si>
  <si>
    <t xml:space="preserve"> - งานตรวจสอบภายใน 51,500</t>
  </si>
  <si>
    <t xml:space="preserve"> - งานจัดซื้อจัดจ้าง และอาคารสถานที่ 152,600</t>
  </si>
  <si>
    <t xml:space="preserve"> - งานบริหารการเงินและบัญชี 142,000 </t>
  </si>
  <si>
    <t xml:space="preserve"> - งานพัฒนาบุคลากรและงานบริทารทรัพยากรมนุษย์ 662,400</t>
  </si>
  <si>
    <t xml:space="preserve"> -การเผยแพร่ประชาสัมพันธ์งานของ ดย. 0.3120</t>
  </si>
  <si>
    <t xml:space="preserve"> - การติดตามของหน่วยตรวจสอบภายในของหน่วยงาน 107 หน่วย  0.6790 ลบ.</t>
  </si>
  <si>
    <t xml:space="preserve"> - ของคณะกรรมการสอบข้อเท็จจริง ต่างจังหวัด  0.5622</t>
  </si>
  <si>
    <t xml:space="preserve"> - คณะกรรมการจริยธรรม ดย. 0.0112</t>
  </si>
  <si>
    <t xml:space="preserve"> - ค่าใช้จ่ายสำหรับผู้เข้าร่วมอบรมของหน่วยงานภูมิภาค 107 แห่ง 2.1000 ลบ.</t>
  </si>
  <si>
    <t>ค่าบำรุงรักษารถยนต์ส่วนกลาง 25 คน โดยเป็นค่าวัสดุ อุปกรณ์และอาหลั่ยรถยนต์ และค่าแรงงานเพื่อให้รถมีสมรรถในการใช้งานได้อย่างมีประสิทธิภาพ</t>
  </si>
  <si>
    <t>ค่าใช้จ่ายในการซ๋อมบำรุงอาคาร เพื่อให้ความปลอดภัยสำหรับบุคลากรและผู้มาติดต่อประสานงาน</t>
  </si>
  <si>
    <t xml:space="preserve">    - ค่าจ้างพนักงานรักษาความปลอดภัย</t>
  </si>
  <si>
    <t xml:space="preserve">   - ค่าจ้างทำความสะอาดอาคารสถานที่</t>
  </si>
  <si>
    <t xml:space="preserve">   - ค่าจ้างกำจัดปลวก</t>
  </si>
  <si>
    <t xml:space="preserve">   - ค่าจ้างเก็บขยะรายปี</t>
  </si>
  <si>
    <t xml:space="preserve">   - ค่าจ้างเหมาดูแลสวน</t>
  </si>
  <si>
    <t xml:space="preserve">   - ค่าจ้างพนักงานขับรถ</t>
  </si>
  <si>
    <t xml:space="preserve">  - ค่าเช่าเครื่องถ่ายเอกสาร</t>
  </si>
  <si>
    <t xml:space="preserve">  - ค่าล้างเครื่องปรับอากาศ</t>
  </si>
  <si>
    <t>ดำเนินงานตามมติครม. เมื่อวันที่ 13 ม.ค. 47 โดยจ้าง รปภ. จากองค์การสงเคราะห์ทหารผ่านศึกในพระบรมราชูปถัมภ์ จำนวน 7 คน  ในการรักษาความปลอดภัยอาคารสำนักงาน 3 อาคาร โดยองค์การฯ จะเป็นผู้จัดหาแรงงาน เครื่องมือ และวัสดุอุปกรณ์ 2.000 ลบ.</t>
  </si>
  <si>
    <t>จ้างเหมาเอกชนในการทำความสะอาดอาคารสถานที่ จำนวน 3 อาคาร  ตึก 6 ขั้น ตึก 3 ชั้น และอาคารบ้านราชวิถี 2 ขั้น 2.0000 ลบ.</t>
  </si>
  <si>
    <t xml:space="preserve">   - ค่าบำรุงรักษาลิฟท์</t>
  </si>
  <si>
    <t>เนื่องจากอาคารทีทำการเป็นพื้นไม้และมีการก่อสร้างนานมาแล้วทำให้มีปลวก แมลงสาบและหนูในบริเวณอาคารทำให้ต้องมีการกำจัด เพื่อสุขอนามัยและสภาพแวดล้อมที่ดี .0350 ลบ.</t>
  </si>
  <si>
    <t>ค่าใช้จ่ายในการซ่อมบำรุงรักษาลิฟท์เนื่องจาก มีอายุการใช้งานนานแล้ว 0.0300 ลบ.</t>
  </si>
  <si>
    <t>ค่าเก็บขยะรายปีของ กทม. 0.0200 ลบ.</t>
  </si>
  <si>
    <t>ค่าใช้จ่ายในการตกแต่งและบำรุงรักษาสวนหย่อมให้มีความสมบูรณ์และสวยงาม 0.1000 ลบ.</t>
  </si>
  <si>
    <t>ค่าจ้างเหมาพนักงานขับรถเนื่องจากลูกจ้างประจำได้เกษียณอายุราขการทำให้ไม่มีอัตราทดแทน จึงต้องจ้างพนักงานขับรถเอกขนแทน 2.0000 ลบ.</t>
  </si>
  <si>
    <t>จ้างเหมาเครื่องถ่ายเอกสารจากบริษัทเอกชน จำนวน 20 เครื่อง เป็นเวลา 12 เดือน ในการสนับสนุนการดำเนินงานของหน่วยงานให้มีประสิทธิภาพ 2.000 ลบ.</t>
  </si>
  <si>
    <t>ค่าล้างเครื่องปรับอากาศ เพื่อให้มีการทำงานอย่างมีประสิทธิภาพ ประหยัดพลังงาน 0.1800 ลบ.</t>
  </si>
  <si>
    <t>จ้างเหมาบุคลากรภายนอกด้านการจัดซื้อจัด่จ้างในระบบรัฐบาลอิเลคทรอนิกส์ (GFMIS E-GP) งานพัสดุและสถานที่ จำนวน 6 คน * 12 เดือน เนื่องจากมีการปรับโครงสร้างใหม่ทำให้ต้องมีการสนับสนุนการทำงานให้กับหน่วยงานในส่วนภูมิภาค 107 แห่ง  0.9400 ลบ.</t>
  </si>
  <si>
    <t xml:space="preserve"> - ค่าวัสดุสำนักงานของ สลก. ช่วยสนับสนุนให้กับหน่วยงาน 1.000 ลบ.</t>
  </si>
  <si>
    <t>เป็นค่าใช้จ่ายส่วนกลางเพื่อใช้สำหรับการประชุม และสนับสนุนการประชุมและจัดกิจกรรมต่างๆ ของ ดย. เช่นค่าน้ำ ค่าหนังสือพิมพ์และอุปกรณ์ในการจัดอาหารและเครื่องดื่มเพื่อรองรับผู้มาติดต่อราชการ</t>
  </si>
  <si>
    <t>ค่าน้ำมันเชื้อเพลิงสำหรับรถยนต์ราชการเพื่อใช้ในการติดต่อราชการ จำนวน 25 คัน</t>
  </si>
  <si>
    <t xml:space="preserve"> - งานพัฒนาบุคลการ 5.4343 ลบ.</t>
  </si>
  <si>
    <t xml:space="preserve"> - งานเผยแพร่ประชาสัมพันธ์องค์กร 1.2765 ลบ.</t>
  </si>
  <si>
    <t xml:space="preserve"> - การพัฒนาและผลักดันกฎหมายเกี่ยวกับกลุ่มเป้าหมาย  0.39060 ลบ.</t>
  </si>
  <si>
    <t>ค่าธรรมเนียบในการอบรมของหน่วยงานตส. เพื่อเพืมองค์ความรู้แก่ผู้ปฏิบัติงานด้าน การตรวจสอบ  จำนวน 3 คนๆ ละ 15,000 บาท/</t>
  </si>
  <si>
    <t xml:space="preserve"> ค่าธรรมเนียมศาล  138,300 เนื่องจาก ดย. มีหน่วยงานในส่วนภูมิภาค 107 หน่วย ซึ่งบางครั้งจะมีคดีทั้งที่เกียวข้อง เช่น การฟ้องร้องผู้ประกอบการก่อสร้างที่ผิดสัญญาทำให้ต้องดำเนินคดีจึงเกิดค่าธรรมเนียมศาลขึ้น</t>
  </si>
  <si>
    <t xml:space="preserve">   - ค่าจ้างเหมาบุคคลภายนอกช่วยปฏิบัติงานด้านกฎหมาย 1 ตำแหน่ง</t>
  </si>
  <si>
    <t xml:space="preserve">   - ค่าจ้างเหมาบุคคลภายนอกโครงการส่งเสริมการพัฒนาระบบบริหาร ดย. 1 ตำแหน่ง</t>
  </si>
  <si>
    <t xml:space="preserve">   - ค่าจ้างหมาบุคคลภายนอกช่วยงานพัสดุ 6 ตำแหน่ง</t>
  </si>
  <si>
    <t xml:space="preserve"> - จ้างเจ้าหน้าที่ช่วยปฏิบัติงานโครงการพัฒนาและผลักดันกฎหมาย 12 * 1 * 15,000 คน</t>
  </si>
  <si>
    <t xml:space="preserve"> - จ้าจัดพิมพ์หนังสือกฎหมายที่เกียวข้องกับเด็กและเยาวชน เช่น พรบ.คุ้มครองเด็ก/ พรบ.ส่งเสริมการพัฒนาเด็กและเยาวชน 4,000 เล่ม x 50 บาท</t>
  </si>
  <si>
    <t xml:space="preserve">   - ค่าจ้างเหมาบุคคลภายนอกช่วยปฏิบัติงานประชาสัมพันธ์ จำนวน 2 คำแหน่ง</t>
  </si>
  <si>
    <t xml:space="preserve"> - จ้างเจ้าหน้าที่ช่วยปฏิบัติงานด้านประชาสัมพันธ์ 2 ตำแหน่ง 16,000 * 2 *12 </t>
  </si>
  <si>
    <t xml:space="preserve"> - ค่าจ้างเหมาในการประชาสัมพันธ์ทางหนังสือพิมพ์  0.3250 ลบ.</t>
  </si>
  <si>
    <t xml:space="preserve"> - ค่าจัดทำโปสเตอร์ แผ่นพับ เพื่อสื่อสารงานด้านเด็กและเยาวชน 1.3125 ลบ.</t>
  </si>
  <si>
    <t xml:space="preserve"> - ค่าประชาสัมพันธ์ทางวิทยุ ด้านเด็กและเยาวชน 0.4900 ลบ.</t>
  </si>
  <si>
    <t xml:space="preserve">ค่าใช้จ่ายในการซ่อมแซมครุภัณฑ์ในส่วนกลางของ ดย./ซ่อมแซมครุภัณฑ์โสตทัศนูปกรณ์ ของ ดย. </t>
  </si>
  <si>
    <t xml:space="preserve"> -  งานประชาสัมพันธ์ 0.250 ลบ.</t>
  </si>
  <si>
    <t>วัสดุหนังสือพิมพ์ติดตามข่าวสารของงานประชาสัมพันธ์</t>
  </si>
  <si>
    <t>ค่าใช้จ่ายในการจัดหาวัสดุคอมพิวเตอร์ เช่น หมึกเครื่องพิมพ์เลเซอร์ อิงค์เจค แผ่นซีดี แผ่นดีวีดี ของกรมกิจการเด็กและเยาวชน สกล.</t>
  </si>
  <si>
    <t xml:space="preserve">(1) ค่าครุภัณฑ์ </t>
  </si>
  <si>
    <t xml:space="preserve"> เพื่อขึ้นเนื่องจากมีการปรับเงินเดือนของพนักงานราชการและพนักงานราชการเพิ่มขึ้น ปี 59 ส่วนกลาง 2.5289  ลบ./สถานสงเคราะห์ 4.0438 ลบ. /บพด. 5.0500 ลบ.</t>
  </si>
  <si>
    <t xml:space="preserve">   - ค่าจ้างเหมาบุคคลภายนอกช่วยปฏิบัติงานตรวจสอบบัญชี จำนวน 2 ตำแหน่ง</t>
  </si>
  <si>
    <t xml:space="preserve"> - จ้างเจ้าหน้าที่ช่วยปฏิบัติงานด้านการตรวจสอบบัญชี 2 ตำแหน่งเนื่องจาก ดย.มีหน่วยงานภูมิภาค 107 แห่งทำให้ต้องมีการลงพื้นที่เพื่อตรวจสอบบัญชีหน่วยงานระดับภูมิภาค 2*15,000 บาท * 12 เดือน</t>
  </si>
  <si>
    <t xml:space="preserve"> - งานตรวจสอบภายใน 0.0145</t>
  </si>
  <si>
    <t xml:space="preserve"> - จ้างเหมาบุคลากรภายนอกช่วยปฏิบัติงานทรัพยากรบุคคลเดือนละ 15,000 * 12 เดือน * 4 คน = 720,000 บาท</t>
  </si>
  <si>
    <t xml:space="preserve">  - ค่าจ้างเหมาบุคคลภายนอกช่วยปฏิบัติงานด้านทรัพยากร จำนวน 4 ตำแหน่ง</t>
  </si>
  <si>
    <t xml:space="preserve"> - ค่าจ้างเหมาตรวจสอบบัญชีของ ดย. 0.1000 ลบ.</t>
  </si>
  <si>
    <t xml:space="preserve"> - ค่าจ้างรถยนต์โดยสารและรถบัสในการอบรมสัมนา ของฝ่ายการเจ้าหน้าที่ 1.2960 ลบ.</t>
  </si>
  <si>
    <t xml:space="preserve"> - ค่าจ้างจัดทำแผ่นพับเผยแพร่ประชาสัมพันธ์คุณธรรมจริยธรรม 50 บาท * 2,000 ชุด = 100,000 บาท</t>
  </si>
  <si>
    <t xml:space="preserve"> - ค่าจ้างจัดทำวีดีทัศน์เผยแพร่ให้ความรู้เตรียมพร้อมรับสถานการณ์ฉุกเฉิน 300 บาท * 200 ชุด = 60,000 บาท</t>
  </si>
  <si>
    <t xml:space="preserve"> - จ้างจัดทำสื่อให้ความรู้การเตรียมพร้อมรับสถานการณ์ฉุกเฉิน 150,000 บาท</t>
  </si>
  <si>
    <t>ค่าธรรมเนียมหลักสูตรภาษาอังกฤษ 200 คน * 2,400 บาท=  480,000 บาท</t>
  </si>
  <si>
    <t>ค่าธรรมเนียมฝึกอบรมหลักสูตรอื่นๆ ที่เป็นด้านเทคนิคเฉพาะเช่น จิตวิทยาสำหรับเด็ก การบัญชี ยุทธศาสตร์ เป็นต้น 100 คน * 1,500 บาท = 150,000 บาท</t>
  </si>
  <si>
    <t>(5) ค่าใช้จ่ายในการจัดกิจกรรมเฉลิมพระเกียรติ</t>
  </si>
  <si>
    <t>สำหรับรถยนต์พาหนะเดินทางไปอบรมสัมนา</t>
  </si>
  <si>
    <t>เพื่อจัดทำยุทธศาสตร์การพัฒนาบุคคล พ.ศ. 2560-2564 ให้สอดคล้องกับยุทธศาสตร์ชองกรมกิจการเด็กและเยาวชน ยุทธศาสตร์กระทรวง พม. และยุทธศาสตร์การพัฒนาข้าราชการพลเรือนของ สำนักงาน กพ.</t>
  </si>
  <si>
    <t>ตาม พรบ. ปรับปรุงกระทรวง ทบวง กรม (ฉบับที่ 14) พ.ศ. 2558 กรม ดย. เป็นหน่วยงานใหม่ที่ได้จัดภารกิจมาจากหลายหน่วยงาน ทำให้มีภารกิจเพิ่มขึ้น และมีแนวทางในการปฏิบัติด้านอัตรากำลังที่แตกต่างกัน ทำให้ต้องมีการจัดทำมาตรฐานในการบริหารอัตรากำลัง เพื่อให้เกิดประสิทธิภาพ ดย.จำเป็นต้องจ้างผู้เชี่ยวชาญด้านการบริหารอัตรากำลัง การวิเคราะห์ตำแหน่ง การจัดทำใบพรรณาลักษณะงาน และการกำหนดลักษณะเฉพาะของงาน การวิเคราะห์ภาระงาน และการกำหนดสมรรถนะและการจัดทำแผนความก้าวหน้าในสายอาชีพเป็นต้น</t>
  </si>
  <si>
    <t>เพื่อสนับสนุนงานให้เกิดประสิทธิภาพ เนื่องจาก ดย.มีการปรับโครงสร้างใหม่ทำให้ต้องมีการปรับเปลี่ยนสถานที่ทำให้ทำต้องมีการจัดซื้อครุภัณฑ์เพิ่มขึ้น</t>
  </si>
  <si>
    <t>2) ค่าใช้จ่ายโครงการจัดทำยุทธศาสตร์พัฒนาบุคลการ พ.ศ. 2560-2564</t>
  </si>
  <si>
    <t>3) ค่าใช้จ่ายโครงการจัดทำกรอบอัตรากำลังของ ดย.</t>
  </si>
  <si>
    <t xml:space="preserve">    - เงินอุดหนุนช่วยเหลือเด็กในครอบครัว</t>
  </si>
  <si>
    <t xml:space="preserve">   - การสงเคราะห์เด็กแบบครอบครัวอุปถัมภ์</t>
  </si>
  <si>
    <t>อุปถัมภ์</t>
  </si>
  <si>
    <t xml:space="preserve">     - ปีงบประมาณ 2560 ได้ตั้งเป้าหมายให้การสงเคราะห์เด็กในครอบครัวช่วยเหลือ</t>
  </si>
  <si>
    <t>ค่าเลี้ยงดูเด็กในครอบครัวอุปถัมภ์ทั่วประเทศ จำนวน 5,000 คน ในอัตรารายละ 2,000 บาท</t>
  </si>
  <si>
    <t>ต่อเดือน เป็นเงิน 120,000,000 บาท โดยให้การช่วยเหลือแก่เด็กในครอบครัวอุปถัมภ์ที่</t>
  </si>
  <si>
    <t>ยากจน และประสบปัญหาความเดือดร้อนเกี่ยวกับค่าใช้จ่ายในการเลี้ยงดูเด็ก ได้แก่</t>
  </si>
  <si>
    <t xml:space="preserve">        - เด็กกำพร้าบิดา มารดา</t>
  </si>
  <si>
    <t xml:space="preserve">        - เด็กที่ถูกบิดา มารดาทอดทิ้งไว้กับครอบครัว ซึ่งมีความเกี่ยวพันเป็นญาติ หรือไม่ได้</t>
  </si>
  <si>
    <t>เป็นญาติกับเด็ก ได้แก่ ผู้รับจ้างเลี้ยงดู</t>
  </si>
  <si>
    <t xml:space="preserve">        - เด็กที่บิดา มารดาไม่สามารถเลี้ยงดูเองได้ ด้วยเหตุผลความจำเป็นต่างๆ เช่น เจ็บ</t>
  </si>
  <si>
    <t>ป่วยหนัก ต้องโทษจำคุก ฯลฯ</t>
  </si>
  <si>
    <r>
      <t xml:space="preserve">     </t>
    </r>
    <r>
      <rPr>
        <u/>
        <sz val="15"/>
        <rFont val="TH SarabunPSK"/>
        <family val="2"/>
      </rPr>
      <t>วิธีให้การสงเคราะห์</t>
    </r>
  </si>
  <si>
    <t xml:space="preserve">      1. ให้การช่วยเหลือเป็นเงิน เพื่อเป็นค่าเลี้ยงดูแบบครอบครัวอุปถัมภ์ในอัตราไม่เกิน</t>
  </si>
  <si>
    <t>2,000 บาท ต่อเดือน กรณีอุปการะ  1 คน และอัตราไม่เกิน 4,000 บาท กรณีอุปการะเกิน</t>
  </si>
  <si>
    <t>กว่า 1 คน</t>
  </si>
  <si>
    <t xml:space="preserve">      2. ดำเนินการตามระเบียบกรมประชาสงเคราะห์ว่าด้วยการสงเคราะห์ครอบครัวอุปถัมภ์</t>
  </si>
  <si>
    <t>พ.ศ. 2544 และประกาศกรมกิจการเด็กและเยาวชน ที่ 298/2558 เรื่อง กำหนดอัตราและ</t>
  </si>
  <si>
    <t>หลักเกณฑ์การจ่ายเงินช่วยค่าเลี้ยงดูเด็กแก่ครอบครัวอุปถัมภ์ และ/หรือช่วยเหลือเครื่อง</t>
  </si>
  <si>
    <t>อุปโภค-บริโภคแก่เด็กตามความจำเป็น ลงวันที่ 17 มิถุนายน 2558</t>
  </si>
  <si>
    <t>รายละเอียดคำชี้แจง งบประมาณแยกตามประเภทงบรายจ่าย ประจำปีงบประมาณ พ.ศ. 2560</t>
  </si>
  <si>
    <t>เป็นค่าใช้จ่ายในการจัดประชุมคณะกรรมการฯ และอนุกรรมการฯ 5 คณะ</t>
  </si>
  <si>
    <t>5. การฝึกอบรมเสริมสร้างทักษะและเทคนิคในการเลี้ยงดูเด็กแก่ครอบครัวอุปถัมภ์และเด็กในความอุปการะที่ได้รับเงินช่วยเหลือค่าเลี้ยงดูและครอบครัวอุปถัมภ์ จำนวน 80 คน เพื่อให้มีความรู้ ความเข้าใจในการดูแลเด็กให้มีคุณภาพชีวิตที่ดี และมีพัฒนาการที่เหมาะสมตลอดจนเสริมสร้างความสัมพันธ์ที่ดี งบประมาณ 428,400 บาท</t>
  </si>
  <si>
    <t xml:space="preserve"> ค่าจ้างเหมาบุคลากรช่วยปฏิบัติงาน</t>
  </si>
  <si>
    <r>
      <t>เพื่อเป็นค่าใช้จ่ายในการเลี้ยงดูเด็กในครอบครัวอุปถัมภ์จำนวน  5,000 x 2,000 x 12 เดือน งบประมาณ 120.000 ลบ.</t>
    </r>
    <r>
      <rPr>
        <b/>
        <sz val="14"/>
        <color rgb="FFFF0000"/>
        <rFont val="TH SarabunPSK"/>
        <family val="2"/>
      </rPr>
      <t xml:space="preserve"> (เอกสารแนบ งบเงินอุดหนุน)</t>
    </r>
  </si>
  <si>
    <t>เช่าที่ดินของการรถไฟ ปี 3 ปี 2560-2562 อยู่ระหว่างการทำสัญญากับการรถไฟแห่งประเทศไทย</t>
  </si>
  <si>
    <t xml:space="preserve"> - ค่าใช้จ่ายในการติดตามงานของผู้บริหาร 2.000 ลบ.</t>
  </si>
  <si>
    <t xml:space="preserve"> - งบบริหารจัดการ สลก. 2.000 ลบ.</t>
  </si>
  <si>
    <t>ค่าใช้จ่ายในการอบรมสัมนาด้านงานมาตรการ กลไก และนโยบายของ ดย. ประกอบด้วย</t>
  </si>
  <si>
    <t>ค่าใช้จ่ายในการจัดประชุมเพื่อคณะทำงาน คณะกรรมการ คณะอนุกรรมการ ฯ เพื่อกำหนดทิศทาง มาตรการ กลไก การทำงานด้านเด็กและเยาวชน ประกอบด้วย</t>
  </si>
  <si>
    <t xml:space="preserve"> -  การพัฒนาองค์ความรู้และบุคลากรด้านเด็กและเยาวชน 2 อัตรา</t>
  </si>
  <si>
    <t xml:space="preserve"> - จ้างเหมาเจ้าหน้าที่ช่วยปฏิบัติงานด้านการจัดการความรู้และการส่งเสริมการพัฒนาบุคลากรด้านเด็กและเยาวชน จำนวน 2 อัตรา x 15,000 x 12 เดือน = 360,000  บาท</t>
  </si>
  <si>
    <t>ค่าใช้จ่ายในการจัดประชุมงานด้านกฎหมาย งานบริหารงานบุคคลเช่น การตรวจสอบข้อเท๋จจริง การชุมคณะกรรมการต่างๆ เช่น</t>
  </si>
  <si>
    <t xml:space="preserve"> - ค่าใข้จ่ายในการจัดประชุมคณะกรรมการพัฒนาและปรับปรุงกฎหมาย 0.0805</t>
  </si>
  <si>
    <t xml:space="preserve"> - ค่าใช้จ่ายในการจัดประชุมสอบข้อเท็จ การประชุมคณะกรรมการจริยธรรมของ ดย. การประชุมคณะกรรมการ อกพ. กรม. เป็นต้น .2000</t>
  </si>
  <si>
    <t xml:space="preserve"> - งานด้านการพัฒนาระบบ กพร. 2</t>
  </si>
  <si>
    <t xml:space="preserve"> เนื่องจาก ดย.มีหน่วยงานในส่วนภูมิภาค 107 หน่วย ซึ่งจะต้องมีการจัดกิจกรรมเฉลิมพระเกียรติและงานวันสำคัญ เป็นตัวแทนหน่วยงานกรมในส่วนภูมิภาค เพื่อจัดกรรม ดังนี้</t>
  </si>
  <si>
    <t xml:space="preserve"> - การจัดกิจกรรมเฉลิมพระเกียรติพระบาทสมเด็จพระเจ้าอยู่หัว 5 ธันวาคม 2560  สำหรับหน่วยงานภูมิภาค 107 หน่วย * 10,000</t>
  </si>
  <si>
    <t xml:space="preserve"> - การจัดกิจกรรมเฉลิมพระเกียรติสมเด็จพระนางเจ้าสิริกิตย์พระบรมราชินีนาถสำหรับหน่วยงานภูมิภาค  107 หน่วย * 10,000  = 1,070,000 บาท</t>
  </si>
  <si>
    <t>ค่าใช้จ่ายในการจ้างเหมางานด้านมาตรการ กลไกและนโยบาย เช่น</t>
  </si>
  <si>
    <t xml:space="preserve"> - ค่าจ้างเหมาจัดทำรายงานการพัฒนาเด็กและเยาวชน 1.000 ลบ.</t>
  </si>
  <si>
    <t xml:space="preserve"> - ค่าจ้างเหมาในการทบทวนและพัฒนามาตรฐานส่งเสริมและคุ้มครองพิทักษ์สิทธิเด็กและเยาวชน 2.5000 ลบ.</t>
  </si>
  <si>
    <t xml:space="preserve"> - จ้างพิมพ์เอกสารมาตรฐานเด็กและเยาวชนเผยแพร่ ให้กับหน่วยงานที่เกี่ยวข้อง จำนวน 1,000 เล่ม x 300 บาท = 300,000</t>
  </si>
  <si>
    <t xml:space="preserve"> - จ้างพิมพ์รายงานการพัฒนาเด็กและเยาวชน เผยแพร่ ให้กับหน่วยงานที่เกี่ยวข้อง จำนวน 1,000 เล่ม x 300 บาท = 300,000</t>
  </si>
  <si>
    <t xml:space="preserve"> - จ้างพิมพ์องค์ความรู้ด้านเด็กและเยาวชนเผยแพร่ ให้กับหน่วยงานที่เกี่ยวข้อง จำนวน 1,000 เล่ม x 200 บาท = 200,000</t>
  </si>
  <si>
    <t xml:space="preserve"> - การจัดการความรู้ ของ ดย. 3.6458</t>
  </si>
  <si>
    <t xml:space="preserve"> - คณะทำงานจัดการความรู้ ดย. 30,000 บาท</t>
  </si>
  <si>
    <t>เป็นค่าใข้จ่ายในการจัดกิจกรรมด้านการจัดการความรู้ การขับเคลื่อนการดำเนินงานด้านการส่งเสริมและคุ้มครองเด็ก เช่น</t>
  </si>
  <si>
    <t xml:space="preserve"> - การจัดกิจกรรมด้านการจัดการความรู้ที่สำคัญของ ดย. 968,400 บาท</t>
  </si>
  <si>
    <t xml:space="preserve"> - การจัดทำข้อเสนอเขิงนโยบาย และขับเคลื่อนการส่งเสริมการพัฒนาและคุ้มครองเด็กและเยาวชน 200 บาท * 15 วัน * 8 คน * 6 เดือน = 144,000  บาท</t>
  </si>
  <si>
    <t>ค่าตอบแทนผู้ปฏิบัติงานให้ราชการ .....</t>
  </si>
  <si>
    <t xml:space="preserve"> - งานด้านการกำหนดนโยบาย และการขับเคลือนการส่งเสริมฯ  180,000 บาท</t>
  </si>
  <si>
    <t>ค่าใช้จ่ายในการสำรวจพื้นที่ที่จะจัดกิจกรรม การติดตามประเมินผลงานด้านการกำหนดนโยบาย มาตรการ กลไก ....</t>
  </si>
  <si>
    <t xml:space="preserve"> - งานด้านการจัดทำข้อเสนอเขิงนโยบาย การขับเคลื่อนการส่งเสริมพัฒนาและคุ้มครองเด็ก  1,324,800 บาท</t>
  </si>
  <si>
    <t xml:space="preserve"> - การจัดทำข้อเสนอเชิงนโนบาย และขับเคลื่อนงานด้านการพัฒนาและคุ้มครองเด็กและเยาวชน 5,693,100</t>
  </si>
  <si>
    <t xml:space="preserve"> - งานคณะกรรมการ กดยช และกคค. จำนวน 24 ครั้ง 11 คณะ 1,852,300 บาท </t>
  </si>
  <si>
    <t xml:space="preserve"> - งานด้านนโยบายและขับเคื่อนด้านการส่งเสริมและคุ้มครองเด็ก 11,731,200 บาท</t>
  </si>
  <si>
    <t xml:space="preserve"> - จ้างเหมาเจ้าหน้าที่ช่วยปฏิบัติงาน งานคณะกรรมการระดับชาติ 1 อัตรา * 15,000 * 12 เดือน = 180,000 บาท</t>
  </si>
  <si>
    <t xml:space="preserve"> - จ้างเหมาเจ้าหน้าที่ช่วยปฏิบัติงาน พรบ.คุ้มครองเด็ก พ.ศ. 2546  2 อัตรา  * 15,000 * 12 เดือน = 540,000 บาท</t>
  </si>
  <si>
    <t xml:space="preserve"> - จ้างเหมาเจ้าหน้ที่ช่วยปฏิบัตานขับเคลื่อนมาตรการ กลไก และแผนพัฒนาเด็กและเยาวชน 1 อัตรา * 15,000 * 12 เดือน = 180,000 บาท</t>
  </si>
  <si>
    <t xml:space="preserve"> - งานจัดข้อเสนอและนโยบาย 4 อัตรา</t>
  </si>
  <si>
    <t xml:space="preserve"> - จ้างบุคคลภายนอกในการศึกษาประเด็นที่เป็นปัจจัยกระทบในการพัฒนาเด็กและเยาวชน 300,000 บาท</t>
  </si>
  <si>
    <t xml:space="preserve"> - ค่าใช้จ่ายในการจัดทำเอกสารและสื่อเพื่อเผยแพร่ในการส่งเสริมและพัฒนา และคุ้มครองเด็กและเยาวชน 1,800,000 บาท</t>
  </si>
  <si>
    <t xml:space="preserve"> - การจัดทำแผนและงบประมาณ 10 คน x 200 * 10วัน * 12 เดือน</t>
  </si>
  <si>
    <t>เป็นค่าอาหารทำการนอกเวลาราชการของ จนท. ที่ปฏิบัติงานทั้งวันธรรมดาและวันหยุดราชการกรณีมีกรณีเร่งด่วน งานด้านนโยบาย มาตรการ กลไก งานแผนงานและงบประมาณ เช่น</t>
  </si>
  <si>
    <t xml:space="preserve"> - การศึกษ่าข้อมูลของและติดตามประเมินผลการดำเนินงานโครงการ 70,000 บาท</t>
  </si>
  <si>
    <t xml:space="preserve"> - การประชุมคณะทำงานจัดทำยุทธศาสตร์ของ ดย. การประชุมซักซ้อมการจัดทำงบประมาณ และคณะทำงานติดตามประเมินผลของ ดย.  250,000 บาท</t>
  </si>
  <si>
    <t xml:space="preserve"> - จ้างเหมารถยนต์โดยสารในการไปราชการเพื่อสำรวจพื้นที่ดำเนินงานและการติดตามประเมินผล 50,000 บาท</t>
  </si>
  <si>
    <t xml:space="preserve"> - จ้างจัดทำรายงานประจำปี เพื่อเผยแพร่ให้หน่วยงานที่เกียวข้องทราบผลการดำเนินงาน จำนวน 600 เล่ม * 400 บาท = 240,000</t>
  </si>
  <si>
    <t xml:space="preserve"> - จัดทำเอกสารเผยแพร่ยุทธศาสตร์ของ ดย. ปี 2560-2564 ให้กับหน่วยงานทั้งส่วนกลางและส่วนภูมิภาค 600 เล่ม * 300 บาท = 180,000 บาท</t>
  </si>
  <si>
    <t xml:space="preserve"> - จ้างผลิตเอกสารกรรมาธิการ และอนุกรรมาธิการ  100,000 บาท</t>
  </si>
  <si>
    <t xml:space="preserve"> - จ้างผลิตแผนปฏิบัติราการประจำปี 2560 150 เล่ม * 200 = 30,000 บาท</t>
  </si>
  <si>
    <t xml:space="preserve"> - จ้างผลผลิตแผนปฏิบัตงานและแผนการใช้จ่ายงบประมาณ ปี 2560 150 เล่ม * 250 บาท = 37,500</t>
  </si>
  <si>
    <t xml:space="preserve"> - จ้างผลิตแผนความเสี่ยง 150 เล่ม * 100 บาท =  15,000</t>
  </si>
  <si>
    <t xml:space="preserve"> - ประชุมเชิงปฏิบัติการเพื่อจัดทำยุทธศาสตร์ของ ดย. 1,597,500 บาท</t>
  </si>
  <si>
    <t xml:space="preserve"> - งานแผนและงบประมาณ 1 อัตรา</t>
  </si>
  <si>
    <t xml:space="preserve"> - จ้างเหมาเจ้าหน้าที่ช่วยปฏิบัติงานด้านแผนและงบประมาณ 1 อัตรา * 15,000 *12 เดือน = 180,000 บาท</t>
  </si>
  <si>
    <t>(1) จัดทำระบบงบประมาณอิเลคทรอนิกส์</t>
  </si>
  <si>
    <t>เนื่องจากมีการปรับโครงสร้างกระทรวง ทำให้ ดย. มีหน่วยงานในระดับภูมิภาคเพิ่มขึ้นและและมีภารกิจเพิ่ม ส่งผลให้งบประมาณมีความซับซ้อนเพิ่มขึ้นทำให้ต้องมีการจัดทำระบบงบประมาณอิเลคทรอนิกส์ เพื่อให้การดำเนินงานด้านการจัดทำงบประมาณเกิดประสิทธิภาพและทันตามกรอบระยะเวลาที่สำนักงบประมาณกำหนด</t>
  </si>
  <si>
    <t xml:space="preserve"> - 'งานบริหารงานทั่วไป 1 อัตรา</t>
  </si>
  <si>
    <t xml:space="preserve"> - จ้างเหมาเจ้าหน้าที่ช่วยปฏิบัติงานฝ่ายบริหารงานทั่วไป 1 อัตรา 12,000 x 12 เดือน x 1 = 144,000 บาท</t>
  </si>
  <si>
    <t xml:space="preserve">ค่าวัสดุสำนักงานเพื่อสนับสนุนการดำเนินด้านการกำหนดนมาตรกา กลไก นโยบาย แผนและยุทธศาสตร์ในระดับต่างๆ </t>
  </si>
  <si>
    <t xml:space="preserve"> - ฝ่ายบริหาร</t>
  </si>
  <si>
    <t>ค่าน้ำมันเชื้อเพลิง สำหรับการศึกษาพื้นที่และการติดตามผลการดำเนินงาน 100,000 บาท</t>
  </si>
  <si>
    <t xml:space="preserve"> - งานอนุสัญญาว่าด้วยสิทธิเด็ก 200*5 วัน * 5 คน *12 เดือน</t>
  </si>
  <si>
    <t xml:space="preserve"> - งานอนุสัญญาว่าด้วยสิทธิเด็ก 420*2 วัน * 5 คน *3 เดือน</t>
  </si>
  <si>
    <t>คณะอนุกรรมการเรื่อง "สิทธิเด็ก"</t>
  </si>
  <si>
    <t>กิจกรรมหลักการสร้างมาตรการกลไก ด้านเด็กและเยาวชน</t>
  </si>
  <si>
    <t xml:space="preserve"> - ค่าเบี้ยประชุมกรรมการ และอนุกรรมาการ กดยช./กคค. จำนวน .....คณะ  2,407,300 บาท</t>
  </si>
  <si>
    <t xml:space="preserve">   รองประธาน</t>
  </si>
  <si>
    <t xml:space="preserve">   กรรมการและที่ปรึกษา</t>
  </si>
  <si>
    <t xml:space="preserve"> - ค่าเบี้ยประชุมอนุกรรมการ "สิทธิเด็ก" 382,500  บาท</t>
  </si>
  <si>
    <t xml:space="preserve"> - จ้างจัดงานเมืองที่เป็นมิตรกับเด็ก จำนวน 2,800,000</t>
  </si>
  <si>
    <t xml:space="preserve"> - จ้างเขียนรายงาย/แปลรายงาน CRC 180,000 </t>
  </si>
  <si>
    <t xml:space="preserve"> - จ้างจัดผลิตเอกสารและคู่มือสิทธิเด็กเพื่อเผยแพร่แก่ผู้สนใจ จำนวน 460,000</t>
  </si>
  <si>
    <t xml:space="preserve"> - อบรมด้านสิทธิเด็ก 7,439,700 บาท</t>
  </si>
  <si>
    <t xml:space="preserve"> - ประชุมคณะกรรมการสิทธืเด็ก 800,000 บาท</t>
  </si>
  <si>
    <t xml:space="preserve"> - ค่าพาหนะสำหรับ ประธานและคณะอนุกรรมการสิทธิเด็ก  10 คน * 1,200 บาท = 12,000 บาท</t>
  </si>
  <si>
    <t xml:space="preserve"> (6) ค่าธรรมเนียม</t>
  </si>
  <si>
    <t>ค่าใช้จายสำหรับ สมาชืก ISPAN 20,000 บาท</t>
  </si>
  <si>
    <t xml:space="preserve"> - ค่าใช้จ่ายในการเดินทางไปราชการต่างประเทศ การประชุมสภาวิชาชัพระหว่างประเทศว่าดาวยการป้องกันและการละเมิดและทอดทิ้งเด็ก (ISPCAN) 511,500 บาท</t>
  </si>
  <si>
    <t xml:space="preserve"> - ค่าใช้จ่ายในการประชุมเจรจาเพื่อจัดทำบันทึกความร่วมมือว่าด้วยการคุ้มครองเด็ก อนุลุ่มแม่น้ำโขง 947,000 บาท</t>
  </si>
  <si>
    <t>(2) ครุภัณฑ์</t>
  </si>
  <si>
    <t xml:space="preserve">เนื่องจาก กผย. ได้มีการย้ายสำนักงานใหม่ทำให้มีความจำเป็นต้องมีครุภัณฑ์มาใช้เพือสนับสนุนการดำเนินงาน </t>
  </si>
  <si>
    <t xml:space="preserve"> - งานขับเคลื่อนนโยบายตามพันธกรณีและความร่วมมือระหว่างประเทศ  200 บาท * 16 วัน * 6 คน = 19,200 บาท</t>
  </si>
  <si>
    <t xml:space="preserve"> - ค่าพาหนะสำหรับผู้เดินทางไปราชการต่างประเทศจากบ้าน-ไปสุวรรณภูมิ (ไปกลับ) 2 คน * 600 บาท = 8,000 บาท</t>
  </si>
  <si>
    <t xml:space="preserve">  - จ้างจัดทำมาตรการและองค์ความรู้ด้านความรว่มมือระหว่างประเทศ 202,000</t>
  </si>
  <si>
    <t xml:space="preserve"> - จ้างติดตามผลการดำเนินงานตามนโยบาย/แผนงาน/แผนปฏฺบัติการเกียวกับการขจัดความรุนแรงต่อเด็กในประเทศไทย 300,000</t>
  </si>
  <si>
    <t xml:space="preserve"> - จ้างล่ามภาษาต่างประเทศที่ไม่ใช่ภาษาอังกฤษ  30,000 บาท</t>
  </si>
  <si>
    <t xml:space="preserve"> - จ้างแปลเอกทางการวิชการเป็นภาษาอังกฤษ 200 หน้า * 500 บาท * 100,000 บาท</t>
  </si>
  <si>
    <t xml:space="preserve"> - เจ้าหน้าที่ช่วยปฏิบัติงานด้านความร่วมมือระหว่างประเทศ 15,000 บาท * 12 เดือน = 180,000 บาท</t>
  </si>
  <si>
    <t xml:space="preserve"> - จ้างเหมารถยนต์รับส่ง จนท.ต่างชาติมาเยือนประเทศ วันละ 1,800 * 2 วัน * 5 คร้ง = 18,000</t>
  </si>
  <si>
    <t xml:space="preserve"> (7) ค่ารับรอง</t>
  </si>
  <si>
    <t>ค่ารับรองต้อนรับชาวต่างชาติที่มาเยือนประเทศไทย  100,000</t>
  </si>
  <si>
    <t xml:space="preserve"> - การประชุมเชิงปฏิบัติการสำหรับผู้ทำงานด้านเด็กที่เกี่ยวข้องกับต่างประเทศ 60 คน 216,600 บาท</t>
  </si>
  <si>
    <t xml:space="preserve"> - การพัฒนาศักยภาพบุคลากรและเจ้าหน้าที่ที่ปฏิบัติงานด้านต่างประเทศ 216,600</t>
  </si>
  <si>
    <t xml:space="preserve"> - ค่าใข้จ่ายในการประชุมภายใต้กรอบความร่วมมือ อนุสัญญาและพันธกรณีระหว่างประเทศ</t>
  </si>
  <si>
    <t xml:space="preserve"> - การติดตามประเมินผลของหน่วยงานภายนอก ตาม พรก.บริหารกิจการบ้านเมืองที่ดี หมวด 3 มาตรา 9 (3) และหมวด 8 มาตรา 45</t>
  </si>
  <si>
    <t xml:space="preserve"> - งานความร่วมมือระหว่างประเทศ 1 อัตรา</t>
  </si>
  <si>
    <t>ปี 2558 ลาออกระหว่างปี 1 อัตรา เกษียณ 25 อัตรา ทดแทนกรอบเดิม 24 อัตรา / ทดแทนไม่ได้ 2 อัตรา (พ.ขับรถยนต์)</t>
  </si>
  <si>
    <t>ค่าใช้จ่ายในการเดินทางไปราชการ เพื่อสำรวจพื้นที่ ดำเนินงานงานด้านการพัฒนาศักยภาพและการติดตามผลการดำเนินงาน</t>
  </si>
  <si>
    <t xml:space="preserve"> - การติดตามขยายผลการดำเนินงานการจัดตั้งศูนย์ข่าวเยาวขนอาเซียน 100,000</t>
  </si>
  <si>
    <t>ค่าใช้จ่ายในการจัดประชุมสัมนาเพื่อพัฒนาเด็กและเยาวชน</t>
  </si>
  <si>
    <t xml:space="preserve"> - การประชุมเขิงปฏิบัติการ "เยาวชนอาสาสมัครนักคุ้มครองสิทธิมนุษยชนอาเซียน (ASEAN Youth Workshiop on Hman Rights Protection Volunteer) 120 คน 1,450,000</t>
  </si>
  <si>
    <t xml:space="preserve"> - การประชุมเขิงปฏิบัติการ "การติดตามและส่งเสริมความเข้มแข็งในการจัดตั้งศูนย์ข่าวเยาวชนอาเซ๊ยน "ASEAN Youth Workshop</t>
  </si>
  <si>
    <t>อบรมให้ความรู้และจัดกิจกรรมสำหรับนักเรียนทุนพระราชทานฯ 77 จังหวัด ทั่วประเทศเพื่อเป็นการพัฒนาศักยภาพ ปลูกฝังจิตสำนึก รักในสถาบันชาติ ศาสนา พระมหากษัตย์ และการสร้างวินัย จิตสำนึก จริยธรรม</t>
  </si>
  <si>
    <t xml:space="preserve">ค่าใช้จ่ายสำหรับโครงการความร่วมมือระหวาง่ประเทศด้านเด็กและเยาวชนตามกรอบความร่วมมือระหว่างประเทศ เช่น </t>
  </si>
  <si>
    <t xml:space="preserve"> - กิจกรรม ค่ายเสริมพลังสานฝันคนเก่ง จำนวน 288 คน 4,606,100 บาท</t>
  </si>
  <si>
    <t xml:space="preserve"> - กิจกรรม ค่ายสานสัมพันธ์เครือข่ายนักเรียนทุนพระราชทาน จำนวน 770 คน  8,472,100 บาท</t>
  </si>
  <si>
    <t xml:space="preserve"> - โครงการเรือเยาวชนอาคเนย์ 5,292,000 บาท</t>
  </si>
  <si>
    <t xml:space="preserve"> - โครงการมิตรภาพล้านช้าง-แม่โขง 5,413,000 บา</t>
  </si>
  <si>
    <t xml:space="preserve"> - โครงการพัฒนาเด็กและเยาวชนภายใต้กรอบความร่วมมือระหว่างปรแทศ 8,340,000</t>
  </si>
  <si>
    <t xml:space="preserve"> - โครการความร่วมมือระหว่างประเทศออสเตรเลีย-นิวซีแลนด์ เพื่อให้เยาวชนได้รับ VIISA ท่องเที่ยวและทำงาน 3,294,000</t>
  </si>
  <si>
    <t xml:space="preserve"> จ้างเหมาเจ้าหน้าที่โครงการ 648,000</t>
  </si>
  <si>
    <t>(1) ค่าใช้จ่ายสำหรับการจัดทำเวปไซด์โครงการแลกเปลี่ยนเยาวชนและเครือข่ายเยาวชน</t>
  </si>
  <si>
    <t>เนื่องจากมีการปรับโครงสร้างกระทรวงฯ พม. ทำให้มีการปรับเปลี่ยนภารกิจและมีการจัดแบ่งโครงสร้างการทำงานใหม่ ทำให้ครุภัณฑ์สำนักงานไม่เพียงพอ ประกอบกับครุภัณฑ์เดิมที่มี่อยู่มีเก่าทรุดโทรม ทำให้ต้องซื้อครุภัณฑ์ใหม่ เพื่อเพิ่มประสิทธิภาพในการทำงาน</t>
  </si>
  <si>
    <t>(2) ครุภัณฑ์ กสพ.</t>
  </si>
  <si>
    <t>ค่าตอบแทนการทำงาน สำหรับข้าราชการ และเจ้าหน้าที่ที่ปฏิบัตงานในวันหยุดและวันธรรมดา ในกรณีที่มีความจำเป็นเร่งด่วน เช่น การเตรียมการจัดประชุม การช่วยเหลือกลุ่มเป้าหมายกรณีเกิดเหตุการฉุกเฉิน  เป็นต้น</t>
  </si>
  <si>
    <t xml:space="preserve"> - งานบริหารงานทั่วไป 200 บาท * 50 วัน * 2 คน /งานหยุดราชการ 420 * 20 วัน * 2 คน = 36,800 บาท</t>
  </si>
  <si>
    <t xml:space="preserve"> - การเสริมสร้างพัฒนาศักยภาพบุคลากรด้านการส่งเสริมและพัฒนาเด็กและเยาวชน จำนวน 60 คน งบประมาณ 421,400 บาท</t>
  </si>
  <si>
    <t xml:space="preserve"> - ค่าใช้จ่ายสำหรับผู้บริหารกองและจนท. ในการเดินทางไปราชการตามที่รับมอบหมายและการติดตามการผลการดำเนินงานด้านการส่งเสริมศักยภาพเด็กและเยาวชน 346,400</t>
  </si>
  <si>
    <t xml:space="preserve">ค่าซ่อมแซมและบำรุงรักษารถยนต์ของกอง จำนวน 2 คน </t>
  </si>
  <si>
    <t>ค่าซ่อมแซมครุภัณฑ์สำนักงาน เช่น แอร์ โต๊ะ ตู้ เป็นต้น</t>
  </si>
  <si>
    <t xml:space="preserve"> -  ฝ่ายบริหาร 1 อัตรา</t>
  </si>
  <si>
    <t xml:space="preserve"> - จ้างเหมาเจ้าหน้าที่ช่วยปฏิบัติงานฝ่ายบริหารทัวไป 1 ตำแหน่ง </t>
  </si>
  <si>
    <t>ค่าวัสดุสำนักงานเพื่อใช้ในการสนับสนุนงานด้านต่างๆ เช่น การประชุม การสัมนา และฝึกอบรม</t>
  </si>
  <si>
    <t xml:space="preserve"> - งานบริหารทั่วไป 500,000 บาท</t>
  </si>
  <si>
    <t>กิจกรรมหลัก การส่งเสริมศักยภาพเด็กและเยาวชน</t>
  </si>
  <si>
    <t>คณะกรรมการจัดงานวันเยาวชนแห่งชาติ</t>
  </si>
  <si>
    <t>คณะอนุกรรมการสรรฯ เยาวชนดีเด่น</t>
  </si>
  <si>
    <t>คณะกรรมการสรรหา 11 สาขา</t>
  </si>
  <si>
    <t>กรรมการ</t>
  </si>
  <si>
    <t>11 สาขา</t>
  </si>
  <si>
    <t>คณะอนุการประชาสัมพันธ์วันเยาวชนแห่งชาติ</t>
  </si>
  <si>
    <t>คณะอนุกรรมการดำเนินงานพิธีเปิดงานวันเยาวชนแห่งชาติ</t>
  </si>
  <si>
    <t>คณะอนุกรรมการดนตรีไทย</t>
  </si>
  <si>
    <t>คณะอนุกรรมการคัดเลือกยุวสตรีดีเด่น</t>
  </si>
  <si>
    <t xml:space="preserve"> - คณะกรรมการจัดงานวันเยาวชนแห่งชาติ 77,600 บาท</t>
  </si>
  <si>
    <t xml:space="preserve"> - คณะอนุกรรมการสรรหาฯ เยาวชนดีเด่น  90,750 บาท</t>
  </si>
  <si>
    <t xml:space="preserve"> - คณะกรรมการสรรหา เยาวชนดีเด่น 11 สาขา 143,000 บาท</t>
  </si>
  <si>
    <t xml:space="preserve"> - คณะอนุกรรมการประชาสัมพันธ์งานวันเยาวชน  26,250</t>
  </si>
  <si>
    <t xml:space="preserve"> - คณะอนุกรรการดนตรีไทย 34,500</t>
  </si>
  <si>
    <t xml:space="preserve"> - คณะกรรมการคัดเลือกยุวสตรีดีเด่น 3,000</t>
  </si>
  <si>
    <t xml:space="preserve"> - คณะอนุกรรมการดำเนินงานพิธีเปิดงานวันเยาวชนแห่งชาติ 46,500 บาท</t>
  </si>
  <si>
    <t>ค่าใช้จ่ายสำหรับเบี้ยประชุมคณะกรรมการและอนุกรรมการ จำนวน 7 ชุด นี้</t>
  </si>
  <si>
    <t xml:space="preserve"> ค่าตอบคณะกรรมการตัดสินดนตรีไทย 3 ประเภท</t>
  </si>
  <si>
    <t xml:space="preserve"> - วงมโหรี ถ้วย ก 7 ครั้ง * 20 คน * 1,000 บาท = 140,000</t>
  </si>
  <si>
    <t xml:space="preserve"> - วงมโหรี ถ้วย ข 7 ครั้ง * 20 คน * 1,000 บาท = 140,000</t>
  </si>
  <si>
    <t xml:space="preserve"> - ประเภทเดี่ยว 6  ครั้ง * 22 คน * 1,000 บาท = 132,000</t>
  </si>
  <si>
    <t xml:space="preserve"> (4) เงินรางวัล</t>
  </si>
  <si>
    <t>ค่าตอบแทนสำหรับผู้ได้รางวัลประกวดดนตรีไทยในวันเยาวขนแห่งชาติ 259,000</t>
  </si>
  <si>
    <t xml:space="preserve"> - งานวันเยาวชน เช่นการเตรียมงานเพื่อจัดกิจกรรมสรรหาเด็กและเยาวชนดีเด่น พิธีเปิดงาน กิจกรรมส่งเสริมดนตรีไทย เป็นต้น 342,320</t>
  </si>
  <si>
    <t>สนับสนุนให้ พมจ. จัดงานวันเยาวชนแห่งชาติ จำนวน 76 จังหวัดๆ ละ 100,000 บาท</t>
  </si>
  <si>
    <t>(6) ค่าใช้จ่ายในการจัดกิจกรรมวันเด็กแห่งชาติ</t>
  </si>
  <si>
    <t>(6) ค่าใช้จ่ายในการจัดกิจกรรมวันเด็กเยาวชนแห่งชาติ</t>
  </si>
  <si>
    <t>ค่าใช้จ่ายในการจัดประชุมคณะกรรมการฯ อนุกรรมการฯ การเตรียมงาน และการติดตามประเมินผล</t>
  </si>
  <si>
    <t xml:space="preserve"> - คณะกรรมการจัดงานวันเยาวชน และคณะกรรมการที่เกี่ยวข้องกับกาจัดงานวันเยาวชน ฯ 202,300</t>
  </si>
  <si>
    <t xml:space="preserve"> - ค่าใช้จ่ายในการจัดประชุมเพื่อเตรียมงานและติดตามผลการดำเนินงานด้านการพัฒนาศักยภาพเด็กและเยาวชน 797,700</t>
  </si>
  <si>
    <t xml:space="preserve"> (7) ค่าซ่อมแซมยานพาหนะและขนส่ง</t>
  </si>
  <si>
    <t xml:space="preserve"> (8) ค่าซ่อมแซมครุภัณฑ์</t>
  </si>
  <si>
    <t>ค่าใช้จ่ายในการจัดกิจกรรมวันเด็กแห่งชาติ จำนวน 2,000  คน</t>
  </si>
  <si>
    <t>ค่าใช้จ่ายในการจัดงานวันเยาวชนแห่งชาติ (จัด 2 วัน โดยมีเข้าร่วมงาน 3,000 คน)</t>
  </si>
  <si>
    <t xml:space="preserve"> - การติดตามผลการจัดทำงานวันเยาวชนแห่งชาติ 300,000</t>
  </si>
  <si>
    <t>ค่าจ้างเหมาเพื่อจัดทำเอกสารข้อมูล เพื่อเผยแพร่ประชาสัมพันธ์ งานด้านการส่งเสริมและพัฒนาเด็กและเยาวชน</t>
  </si>
  <si>
    <t xml:space="preserve"> - ค่าพาหนะสำหรับคณะกรรมการตัดสินการประกวดดนตรีไทย 100,000</t>
  </si>
  <si>
    <t xml:space="preserve"> - จัดกิจกรรมประกวดดนตรีไทย 100,000</t>
  </si>
  <si>
    <t xml:space="preserve"> - การผลิตสื่อ การเรียนรุ้และองค์ความรู้ให้ด้านการพัฒนาเด็กและเยาวชน 6 มิติ 4,137,800</t>
  </si>
  <si>
    <t xml:space="preserve"> - อบรมสัมมนาโครงการส่งเสริมและพัฒนนาศักยภาพเด็กและเยาวชน จำนวน 7 หลักสูตร 8,641,650</t>
  </si>
  <si>
    <t xml:space="preserve"> - ค่าจ้างเหมาบริการรถยนต์สำหรับงานด้านการพัฒนาศักยภาพ 200,000</t>
  </si>
  <si>
    <t xml:space="preserve"> - โครงการส่งเสริมและพัฒนาศักยภาพเด็กและเยาวชน</t>
  </si>
  <si>
    <t>การสำหรับการรถยนต์ที่สำรวจพื้นที่และการติดตามประเมินผลด้านการส่งเสริมและพัฒนาเด็กและเยาวชน</t>
  </si>
  <si>
    <t>เพือจัดทำเวปไซด์สำหรับเยาวชนและเครือข่ายเยาวชน</t>
  </si>
  <si>
    <t>จัดกิจกรรมดนตรี</t>
  </si>
  <si>
    <t>(2) ค่าเบี้ยประชุมคณะกรรมการ</t>
  </si>
  <si>
    <t xml:space="preserve"> - กองทุนคุ้มครองเด็ก กรณีวิเคราะห์โครงการที่ขอรับการสนับสนุนจากกองทุนคุ้มครองเด็กเพื่อเสนอคณะอนุกรรมการฯ  พิจารณาอนุมัติรวบรวมเอกสารหลักฐานด้านการเงิน ตลอดจนการเก็บรายงานผลการปฏิบัติงานโครงการ  144,000 บาท</t>
  </si>
  <si>
    <t>เป็นค่าใช้จ่ายสำหรับคณะกรรมการคณะต่างๆ ดังนี้</t>
  </si>
  <si>
    <t xml:space="preserve"> - คณะกรรมการและอนุกรรมการบริหารกองทุนคุ้มครองเด็ก ซึ่งเบิกตามเกณฑ์กำหนดใน พรก.เบี้ยประชุม พ.ศ. 2547 ของกองทุนคุ้มครองเด็ก จำนวน 4 คณะ งบประมาณ 8,932,900</t>
  </si>
  <si>
    <t>การคุ้มครองสิทธิเด็กและเยาวชน</t>
  </si>
  <si>
    <t>คณะกรรมการบริหารกองทุน  9 คน ประชุม 11 คร้งต่อปี</t>
  </si>
  <si>
    <t>คณะกรรมการกลั่นกรองโครงการ จำนวน 16 คน ประชุม 11 ครั้งต่อปี</t>
  </si>
  <si>
    <t>คณะกรรรมการติดตามและประเมินผล</t>
  </si>
  <si>
    <t>คณะอนุกรรมการให้การสงเคราะห์รายบุคคลกองทุนคุ้มครองเด็ก จำนวน 10 คน ประชุม 11 ครั้ง</t>
  </si>
  <si>
    <t>76 จังหวัด</t>
  </si>
  <si>
    <t>ค่าใช้จ่ายสำหรับการสำรวจพื้นที่และการติตดามประเมินผล การดำเนินงาน ด้านต่างๆ เช่น</t>
  </si>
  <si>
    <t xml:space="preserve"> - การติดตามกองทุนคุ้มครองเด็ก 770,800 บาท</t>
  </si>
  <si>
    <t>ค่าจ้างเหมาบริการสำหรับงานคุ้มครองเด็กและเยาวชน</t>
  </si>
  <si>
    <t xml:space="preserve"> - กองทุนคุ้มครองเด็ก  1 คน</t>
  </si>
  <si>
    <t xml:space="preserve"> - เจ้าเจ้าหน้าที่ช่วยปฏิบัติงานบริหารกองทุนคุ้มครองเด็ก 1คน x 15,000 บาท x 12 เดือน</t>
  </si>
  <si>
    <t>ค่าใช้จ่ายสำหรับการจัดประชุมคณะกรรมการและคณะทำงานด้านการคุ้มครองเด็กและเยาวชน</t>
  </si>
  <si>
    <t xml:space="preserve"> - งานบริการกองทุนคุ้มครองเด็ก คณะกรรมการส่วนกลาง 118,400/ คณะทำงานส่วนภูมิภาค 319,200 บาท รวมงบประมาณ 437,600 บาท</t>
  </si>
  <si>
    <t xml:space="preserve"> (6) ค่าซ่อมแซมครุภัณฑ์</t>
  </si>
  <si>
    <t>ซ่อมแซมครุภัณฑ์สำนักงาน เช่น ครุภัณฑ์คอมพิวเตอร์ เครื่องโทรสาร และเครื่องถ่ายสำเนาเป็นต้น</t>
  </si>
  <si>
    <t xml:space="preserve">ค่าวัสดุสำนักงานสำหรับการงานด้านการคุ้มครองเด็กและเยาวชน </t>
  </si>
  <si>
    <t xml:space="preserve"> - งานบริหารกองทุนส่วนกลาง 250,000.../สนับสนุนพมจ. 380,000 บาท</t>
  </si>
  <si>
    <t>(3) ค่าวัสดุหนังสือ วารสารและตำรา</t>
  </si>
  <si>
    <t>ค่าวัสดหนังสือและตำรา/ระเบียบทางราชการ เพื่อเป็นความรู้สำหรับข้าราชการและเจ้าหน้าที่กองทุน 20,000</t>
  </si>
  <si>
    <t xml:space="preserve"> - งานบริหารกองทุนคุ้มครองเด็ก 1,026,000</t>
  </si>
  <si>
    <t>ค่าน้ำมันเชื้อเพลิงสำหรับรถยนต์ที่ไปสำรวจพื้นที่ ดำเนินการ และติดตามประเมิน ด้านการคุ้มครองเด็ก่และเยาวชน ทั้งส่วนกลางและสวนภูมิภาค</t>
  </si>
  <si>
    <t xml:space="preserve">ค่าใช้จ่ายสำหรับการอบรมสัมนาด้านการคุ้มครองเด็กและเยาวชน </t>
  </si>
  <si>
    <t xml:space="preserve"> - โครงการคุ้มครองสวัสดิภาพและพิทักษ์สิทธิเด็กและเยาวชน 6 หลักสูตร 19,977,000 บาท</t>
  </si>
  <si>
    <t xml:space="preserve"> - การขับเคลือนรูปแบบการเสริมสร้างความเข้มแข็งของชุมชนคุ้มครองเด็ก </t>
  </si>
  <si>
    <t xml:space="preserve"> - การขับเคลื่อนการดำเนินงานตาม พรบ.หอพัก พ.ศ. 2558 </t>
  </si>
  <si>
    <t xml:space="preserve"> - จ้างศึกษาและจัดทำระบบการปกป้อง ดูแล เด็และเยาวชน ตามช่วงวัย 4 ช่วยวัย 1,200,000</t>
  </si>
  <si>
    <t xml:space="preserve"> - จ้างเหมารถยนต์เพื่อดำเนินกิจกรรมด้านการคุ้มครอง  201,600</t>
  </si>
  <si>
    <t xml:space="preserve"> - จ้างจัดทำเอกสาร/สือ/องค์ความรู้ในการปฏิบัติงานคุ้มครองเด็กและเยาวชนในชุมชน 883,000</t>
  </si>
  <si>
    <t xml:space="preserve"> - จัดพิมพ์ระบบการป้องกัน ดูแล เด้กและเยาวชนตามช่วงวัย 400 เล่ม x 150 บาท = 60,000 บาท</t>
  </si>
  <si>
    <t xml:space="preserve"> - สนับสนุน พมจ. ในการจัดกิจกรรมด้านการคุ้มครองเด็กแลเยาวชน  4 แห่ง ๆ ละ 210,000 บาท = 840,000 บาท</t>
  </si>
  <si>
    <t xml:space="preserve">ค่าใช้จ่ายในการจัดกิจกรรมด้านการคุ้มครองสิทธิเด็กและเยาวชน </t>
  </si>
  <si>
    <t xml:space="preserve"> - เจ้าเจ้าหน้าที่ช่วยปฏิบัติงานด้านการคุ้มครองเด็กและเยาวชน 1คน x 15,000 บาท x 12 เดือน</t>
  </si>
  <si>
    <t xml:space="preserve"> - การคุ้มครองสวัสดิภาพเด็กและเยาวชน 1 คน</t>
  </si>
  <si>
    <t xml:space="preserve"> - งานคุ้มครองเด็กและเยาวชน  371,700</t>
  </si>
  <si>
    <t xml:space="preserve"> สนับสนุนค่าไปรณีย์ พมจ. 76 จังหวัด สำหรับงานบริการกองทุนคุ้มครองเด็ก 76 * 9,000 บาท</t>
  </si>
  <si>
    <t>(3) ค่าตอบแทนผู้ปฏิบัติงานให้ราชการ</t>
  </si>
  <si>
    <t>ค่าตอบแทนสำหรับคณะทำงานขับเคลื่อนนโยบายและยุทธศาสตร์ด้นการป้องกันและแก้ไขปัญหาความรุนแรงต่อเด้กและเยาวชน 15 คน * 500 บาท * 2 ครั้ง = 22,500</t>
  </si>
  <si>
    <t xml:space="preserve"> - คณะอนุกรรมการประสานการป้องกันและแก้ไขปัญหาความรุนแรงต่อเด็กและเยาวชน 60 คน ประชุม 2 ครั้งต่อปี = 121,200</t>
  </si>
  <si>
    <t>คณะอนุกรรมการประสานการป้องกันและแก้ไขปัญหาความรุนแรงต่อเด็กและเยาวชน</t>
  </si>
  <si>
    <t xml:space="preserve"> - การขับเคลือนนโยบายและยุทธศาตร์ด้นการป้องกันและแก้ไขปัญหาความรุนแรงต่อเด็กและเยาวชน 5,736,700</t>
  </si>
  <si>
    <t xml:space="preserve"> - คณะอนุกรรมการประสานการป้องกันและแก้ไขปัญหาความรุนแรงต่อเด็กและเยาวชน 33,400</t>
  </si>
  <si>
    <t xml:space="preserve"> - คณะกรรมการขับเคลื่อนนโยบายและยุทธศาสตร์ด้นการป้องกันและแก้ไขปัญหาความรุนแรงต่อเด็กและเยาวชน 26,900</t>
  </si>
  <si>
    <t xml:space="preserve"> - การขับเคล่อนนโยบายและยุทธศาตร์ฯ ความรุนแรงต่อเด็กและเยาวขน 581,100</t>
  </si>
  <si>
    <t xml:space="preserve"> - จ้างออกแบบและจัดทำรายผลการติดตามการขับเคลื่อนนโยบายและยุทธศาสตร์การป้องกันและแก้ไขปัญหาความรุนแรงต่อเด็กและเยาวชน 600,000</t>
  </si>
  <si>
    <t xml:space="preserve"> - จ้างเหมาจัดทำคู่มือการเลี้ยงดูเด็กโดยไม่ใช้ความรุนแรง 300,000 บาท</t>
  </si>
  <si>
    <t xml:space="preserve"> - การขับเคลื่อนนโยบายและยุทธศาสตร์ฯ ความรุนแรง</t>
  </si>
  <si>
    <t xml:space="preserve"> - เจ้าเจ้าหน้าที่ช่วยปฏิบัติงานด้านการป้องกันและแก้ไขปัญหาความรุนแรงต่อเด็กและเยาวชน 1 คน * 15,000 บาท * 12 เดิอน = 180,000 \</t>
  </si>
  <si>
    <t xml:space="preserve"> - สนับสนุนให้ บพด. จัดอบรมพ่อแม่และผู้ปกครองเพื่อส่งเสริมให้เกิดแกนนำและเครือข่าย ครู ก. ระดับจังหวัด 4 จังหวัด จำนวน จำนวน 360 คน x 2 ครั้ง = 1,200,000 บาท</t>
  </si>
  <si>
    <t xml:space="preserve"> - สนับสนุนให้ บพด. จัดอบรมพ่อแม่และผู้ปกครองเพื่อส่งเสริมให้เกิดแกนนำและเครือข่าย ครู ก. ระดับตำบล 36 จังหวัดๆ ละ 100 คน x 1  ครั้ง = 14,440,000 บาท</t>
  </si>
  <si>
    <t>เพื่อศึกษาแนวทางการส่งเสริให้เกิดชุมชนเฝ้าระวังปัญหาความรุนแรงต่อเด็กและเยาวชน ซึ่งจะทำให้เกิดแนวทางการส่งเสริมให้เกิดชุมชนเฝ้าระวังปัญหาความรุนแรงต่อเด็ก</t>
  </si>
  <si>
    <t xml:space="preserve"> - งานบริหารงานทั่วไป</t>
  </si>
  <si>
    <t xml:space="preserve"> - งานบริหารงานทั่วไป 500,000</t>
  </si>
  <si>
    <t xml:space="preserve"> - งานบริหารทัวไป</t>
  </si>
  <si>
    <t xml:space="preserve"> - ค่าเช่าแครื่องถ่ายเอกสาร 120,000</t>
  </si>
  <si>
    <t>ค่าเบี้ยเลี้ยงเจ้าหน้าที่ในการปฏิบัตงานด้าน</t>
  </si>
  <si>
    <t xml:space="preserve"> - การจัดเวทีประชาคม การจัดกิจกรรมสันทนาการและสำรวจข้อมูลเบื้องต้น เพื่อใช้ในการวางแผนการจัดกิจการพัฒนาเด็กจำนวน 200 รุ่น * 3,600 บาท</t>
  </si>
  <si>
    <t xml:space="preserve"> - การติดตามประเมินผลการพัฒนาการเรียนรู้แก่เด็ก  307,200 บาท</t>
  </si>
  <si>
    <t xml:space="preserve"> - จัดทำบอร์ดและนิทรรศการในการให้ความรู้ และเสริมสร้างพัฒนาการที่เหมาะสมแก่เด็กและค่าเช่าสถานที่  200 รุ่น * 25,000 </t>
  </si>
  <si>
    <t>ค่าวัสดุ อุปกรณ์ ในการจัดกิจกรรมสำหรับ</t>
  </si>
  <si>
    <t xml:space="preserve"> - การพัฒนากระบวนการเรียนรู้แก่เด็ก</t>
  </si>
  <si>
    <t>ค่าน้ำมันเชื้อเพลิงในการเดินทางไปปฏิบัติงานและติดตามประเมินผล</t>
  </si>
  <si>
    <t>ค่าใช้จ่ายในการจัดซื้อวัสดุอุปกรณ์ต่างๆ สำหรับการสอนแนะแนวอาชีพต่างๆ และการจัดกิจกรรมเสริมพัฒนาการสังคมแก่เด็ก</t>
  </si>
  <si>
    <t xml:space="preserve"> - การพัฒนากระบวนการเรียนรู้แก่เด็ก 200 รุ่น * 2 ครั้ง * 14,500 บาท</t>
  </si>
  <si>
    <t xml:space="preserve"> - การพัฒนากระบวนการเรียนรู้แก่เด็ก 200 รุ่น * 2,000 บาท</t>
  </si>
  <si>
    <t>สำหรับเป็นค่าใช้จ่ายในการจัดซื้อหนังสือที่เป็นประโยชน์ต่างๆ อุปกรณ์การพัฒนาเด็กและเยาวชน เพื่อให้เกิดความคิดสร้างสรรรค์ตามช่วงวัย</t>
  </si>
  <si>
    <t>สำหรับค่าใช้จ่ายในการจัดซื้อหนังสือ วารสารความรู้ด้านต่างๆ ที่เป็นประโยชน์ในการศึกษาและพัฒนาความรู้ของเด็ก สำหรับเด็กของชุมชนในหมู่บ้าน</t>
  </si>
  <si>
    <t xml:space="preserve"> - การพัฒนากระบวนการเรียนรู้แก่เด็ก 200 รุ่น * 6,500บาท</t>
  </si>
  <si>
    <t xml:space="preserve"> - ค่าจนท.เดินทางเข้าร่วมประชุม อบรม ด้านอาเซียน</t>
  </si>
  <si>
    <t>ค่าใช้จ่ายในการส่งเสริมศักยภาพการเรียนรุ้ ด้าน</t>
  </si>
  <si>
    <t xml:space="preserve"> - การส่งเสริมการเรียนรู้ด้านเศรษฐกิจ และสังคม วัฒนธรรมที่จำเป็นต่อการดำรงชีวิตให้แก่เด็กในสถานสงเคราะห์ </t>
  </si>
  <si>
    <t xml:space="preserve"> - เสริมสร้างความรู้ด้นอาเซียนในศูนย์การเรียนรู้อาเซียน</t>
  </si>
  <si>
    <t xml:space="preserve"> - ศูนย์การเรียนรู้ด้านอาเซียน</t>
  </si>
  <si>
    <t>ค่าสมนาคุณผู้ที่มาให้ความรู้แก่เด็กและเจ้าหน้าที่ เช่น</t>
  </si>
  <si>
    <t xml:space="preserve"> - ค่าสมนาคุณผู้ที่มาให้ความรู้แก่เด็กและเจ้าหน้าที่ เกี่ยวกับประชาคมอาเซียนในศูนย์การเรียนรู้อาเซียนในถานสงเคราะห์  30 แห่ง</t>
  </si>
  <si>
    <t xml:space="preserve"> - ผู้เชี่ยวชาญเฉพาะด้านมาให้ความรู้ด้านการฝึกอาชีพระยะสั้น</t>
  </si>
  <si>
    <t>ซ่อมแซมครุภัณฑ์</t>
  </si>
  <si>
    <t xml:space="preserve"> - อุปกรณ์เครื่องใช้ในการฝึกอาชีพต่างๆ </t>
  </si>
  <si>
    <t xml:space="preserve"> - ค่าพาหานะ ค่าอาหาร สำหรับผู้เข้าอบรมหลักสูตรฝึกอาชีพระยะสั้น /ค่าเบี้ยเลี่ยง จนท. (ผู้เข้าอบรม 15,000 คน)</t>
  </si>
  <si>
    <t xml:space="preserve"> - การเสริมทักษะด้านอาชีพระยะสั้นแก่เด็กในวัยเรียน</t>
  </si>
  <si>
    <t>ค่าอาหารและเครืองดื่มสำหรับผู้เข้ารับการฝึกอาชีพระยะสั้น</t>
  </si>
  <si>
    <t xml:space="preserve"> - ค่าสมนาคุณผู้ให้ความรู้แก่บุคลากรและเด็ก ในการพัฒนาทักษะการดำเนินชีวิตแก่เด็กเร่ร่อน</t>
  </si>
  <si>
    <t xml:space="preserve"> -  การพัฒนาทักษะการดำเนินชีวิตแก่เด็กเร่ร่อน</t>
  </si>
  <si>
    <t xml:space="preserve"> - จัดทำคู่มือการพัฒนาทักษะชีวิตแก่เด็กเร่ร่อน 500 * 300 บาท</t>
  </si>
  <si>
    <t xml:space="preserve"> - นักสังคมสงเคราะห์ 2 ราย * 15,000 * 12 เดือน </t>
  </si>
  <si>
    <t xml:space="preserve"> - นักจิตวิทยา 2 ราย * 15,000* 12 เดือน </t>
  </si>
  <si>
    <t xml:space="preserve"> - จนท.สันทนาการ 2 ราย * 15,000 บาท *12 เดือน</t>
  </si>
  <si>
    <t xml:space="preserve"> - นักพัฒนาการเด็ก 4 ราย* 15,000 * 12เดือน </t>
  </si>
  <si>
    <t xml:space="preserve"> - พัฒนาทักษะเด็กเร่ร่อน</t>
  </si>
  <si>
    <t>จ้างบุคลากรมาช่วยปฏิบัติงานด้นต่างๆ ให้กับเด็กเร่ร่อนในด้านปัจจัย 4 กิจกรรม การบำบัดฟื้นฟูสภาพจิตใจ อารมณ์ ทักษะการเรียนรู้เนื่องจากเป็นการปรับเปลียนรูปแบบการดำเนินการให้ชัดเจนยิ่งชึ้น</t>
  </si>
  <si>
    <t xml:space="preserve"> - การส่งเสริมเด็กด้อยโอกาสในชุมขน</t>
  </si>
  <si>
    <t>(6) ค่าใช้จ่ายในจัดประชุม</t>
  </si>
  <si>
    <t xml:space="preserve"> การส่งเสริมเด็กด้อยโอกาสในชุมชน</t>
  </si>
  <si>
    <t xml:space="preserve"> (7) ค่าใช้จ่ายในการอบรมสัมนา</t>
  </si>
  <si>
    <t xml:space="preserve"> - การพัฒนาทักษะการดำเนินชีวิตเด็กเร่ร่อน 10 อัตรา</t>
  </si>
  <si>
    <t xml:space="preserve"> การส่งเสริมเด็กด้อยโอกาสในชุมชน 2 อัตรา</t>
  </si>
  <si>
    <t xml:space="preserve">เจ้าหน้าหน้าที่ช่วยปฏิบัติงานด้านการส่งเสริมเด็กด้อยโอกาสในชุมชน 2 อัตรา 15,000 * 12 </t>
  </si>
  <si>
    <t xml:space="preserve"> -  การส่งเสริมเด็กด้อยโอกาสในชุมชน</t>
  </si>
  <si>
    <t>จ้างเหมาในการจัดคู่มือและสื่อการเรียนรู้แก่เด็ก</t>
  </si>
  <si>
    <t xml:space="preserve"> - สนับสนุนเครือข่ายการจัดสวัสดิการ</t>
  </si>
  <si>
    <t xml:space="preserve"> เป็นค่าเช่าบ้านของข้าราชการที่ปฏิบัติงานในหน่วยงานที่มีบ้านพักอาศัยไม่เพียงพอ จำนวน 12 อัตรา * 3,500 * 12 เดือน</t>
  </si>
  <si>
    <t>(3) ค่าตอบแทนพิเศษผู้ปฏิบัติงานในพื้นที่พิเศษ (ข้าราชการ+พนักงานราชการ)</t>
  </si>
  <si>
    <t xml:space="preserve"> - เป็นค่าตอบแทนสำหรับเจ้าหน้าที่ปฏิบัติงานในเขตพื้นที่พิเศษ 3 จังหวัดชายแดนภาคใต้ ที่ปฏิบัติงานในสถานสงเคราะห์ 3 แห่ง เพื่อดูแลเด็กที่อยู่ในความอุปการะจำนวน 60 คน x 2,500 บาท x 12 เดือน เป็นเงิน 1,800,000 บาท</t>
  </si>
  <si>
    <t xml:space="preserve">ค่าสาธารณูปโภคสถานสงเคระห์ 30 แห่ง ได้รับการจัดสรรไม่เพียงพอทำให้มีการโอนเปลี่ยนแปลงรายการเพื่อนำมาชำระค่าสาธารณูโภคทุกปี </t>
  </si>
  <si>
    <t xml:space="preserve"> 1) ค่าเช่าลดลงเนื่องจาก ได้ปรับลดรายการค่าเช่าภาพยนต์สำหรับฉายให้เด็กในสถานสงเคราะห์ดูเป็นสื่อการเรียนการสอนเป็นดีวีดีแทน </t>
  </si>
  <si>
    <t>2) คงเหลือเป็นค่าใช้จ่ายในการเช่าทรัพย์สินของสถานสงเคราะห์ 2 แห่ง เป็นเงิน 2,290,200 บาท    1) สถานสงเคราะห์เด็กชายบ้านศรีธรรมราช พื้นที่ 14 ไร่ เช่าวัดพระเวียงตั้งแต่ปี พ.ศ. 2508 ค่าเช่าปีละ 2,260,200 บาท     2) สถานแรกรับเด็กชายปากเกร็ดพื้นที่ 240 ตารางวา เช่าวัดกลางเกร็ดตั้งแต่ปีพ.ศ. 2503 ค่าเช่าปีละ 11,300 บาท</t>
  </si>
  <si>
    <t>(5) ค่าเช่าทรัพย์สิน</t>
  </si>
  <si>
    <t>(1) ในสถานสงเคราะห์ 30 แห่ง</t>
  </si>
  <si>
    <t>อุดหนุนเด็กยากจนจำนวน 182,100 รายๆละ 1,000 บาท</t>
  </si>
  <si>
    <t>ค่าตอบแทนผู้ปฏิบัติงานนอเวลาราชการสำหรับเจ้าหน้าที่ที่ปฏิบัติงานในสถานสงเคราะห์และหน่วยงานกลาง</t>
  </si>
  <si>
    <t xml:space="preserve"> - สถานสงเคราะห์ 29 แห่ง 1,783,500</t>
  </si>
  <si>
    <t xml:space="preserve"> - ส่วนกลาง 171,800 บาท</t>
  </si>
  <si>
    <t>ค่าใช้จ่ายสำหรัเดินทางไปราชการ ติดตางผลการปฏิบัติงาน ประชุม และเดินทางไปราชการต่างๆ ของส่วนกลางและสถานสงเคราะห์ 29 แห่ง</t>
  </si>
  <si>
    <t xml:space="preserve"> - ส่วนกลาง</t>
  </si>
  <si>
    <t>(8) ค่าใช้จ่ายในการสัมนาและฝึกอบรม</t>
  </si>
  <si>
    <t xml:space="preserve"> - สงเสริมความรู้ทักษะการบริหารจัดการรายกรณ๊ (Case Management)</t>
  </si>
  <si>
    <t>ค่าซ่อมแซมยานพาหนะและขนส่ง ของหน่วยงานกลางและสถานสงเคาะห์  30 แห่ง</t>
  </si>
  <si>
    <t xml:space="preserve"> - สถานสงเคราห์ 25 แห่ง</t>
  </si>
  <si>
    <t>ค่าซ่อมแซมครุภัณฑ์ที่ใช้ประจำสำนักงาน ครุภัณฑ์ฝึกอาชีพ ครุภัณฑ์งานบ้านงานครัว ฯ สถานสงเคราะห์ 30 แห่ง</t>
  </si>
  <si>
    <t xml:space="preserve"> - สถานฟื้นฟู 4 แห่ง</t>
  </si>
  <si>
    <t>ค่าจ้างเหมาบริการต่างๆ ของสถานสงเคราะห์ 29 แห่ง</t>
  </si>
  <si>
    <t xml:space="preserve"> - ค่าจ้างเหมาบริการต่างๆ เช่น การกำจัดปลวก การตักสิ่งปฏิกูล ค่าขนขยะ ของสถานสงเคราะห์ 29 แห่ง</t>
  </si>
  <si>
    <t xml:space="preserve">ค่าจ้างเหมาแทนอัตราทแทนตำแหน่งที่ถูกยุบ/เกษียณ ลาออก และไม่เพียงพอของสถานสงเคราะห์ 29 แห่ง </t>
  </si>
  <si>
    <t xml:space="preserve"> - ทดแทนอัตราถูกยุบ เช่น คนครัว คนสวย คนงาน ยาม ภารโรง 25 แห่ง * 2 อัตรา * 9,000 ยาท</t>
  </si>
  <si>
    <t xml:space="preserve"> - ปฏิบัติงานดุแลเด็ก จำนวน 29 แห่ง * 1 * 9,000 </t>
  </si>
  <si>
    <t xml:space="preserve"> - ผู้ปฏิบัติงานในสถานสงเคราะห์ 29 แห่ง 79 อัตรา</t>
  </si>
  <si>
    <t>เพื่อเสริมทักษะความรุ้ให้กับเด็กในอุปการะสถานสงเคราะห์ 30 แห่ง</t>
  </si>
  <si>
    <t xml:space="preserve"> - สถานสงเคราะห์ 29 แห่ง</t>
  </si>
  <si>
    <t xml:space="preserve"> - สถานสงเคราะห์ 29 แห่ง </t>
  </si>
  <si>
    <t>ค่าซ่อมแซมสิ่งก่อสร้างที่ชำรุด ที่ใช้งานเกิน 10 ปี เช่น หลังคา ฝ้า กระจก ท่อระบายน้ำ เป็ฯต้น</t>
  </si>
  <si>
    <t xml:space="preserve"> - สถานสงเคาะห์ 25 แห่ง </t>
  </si>
  <si>
    <t xml:space="preserve"> - ค่าพาหนะพาเด็กไปทัศนศึกษานอกสถานที่ 3,500 คน * 220 วัน * 12 บาท </t>
  </si>
  <si>
    <t>ค่าวัสดุสำนีกงาน เครื่องเขียน แบบพิมพ์ อุปกรณ์สำหรับใช้ปฏิบัติงานของสถานสงเคราะห์และส่วนกลาง</t>
  </si>
  <si>
    <t xml:space="preserve"> - สถานงเคราะห์ 25 แห่ง </t>
  </si>
  <si>
    <t xml:space="preserve"> - สถานพัฒนาและฟื้นฟู 4 แห่ง</t>
  </si>
  <si>
    <t>ค่าวัสดุน้ำมันเชื้อเพลิงและหล่อลื่นยานพาหนะ ที่ใช้ในราชการของสถานสงเคราะห์ และส่วนกลาง</t>
  </si>
  <si>
    <t xml:space="preserve">ค่าวัสดุงานบ้านงานครัว  ภาชนะหุงต้ม อุปกรณ์สำหรับจัดเลี้ยง </t>
  </si>
  <si>
    <t xml:space="preserve"> - สถานพัฒนาและฟื้นฟูเด็ก 4 แห่ง </t>
  </si>
  <si>
    <t xml:space="preserve"> - หน่วยงานที่ดุแลคุ้มครองเด้ก ตาม พรบ.ศาลเยาวชนและครอบครัว 4 แห่ง</t>
  </si>
  <si>
    <t>ค่าใช้จ่ายสำหรับผู้รับการสงเคราะห์  30 แห่ง</t>
  </si>
  <si>
    <t xml:space="preserve"> - สถานสงเคราะห์  29 แห่ง</t>
  </si>
  <si>
    <t>ค่าอุปกรณ์การศึกษาสำหรับเด็กในอุปการะ 30 แห่ง</t>
  </si>
  <si>
    <t>ค่าอาหารสำหรับเด็กในอุปการะ 30 แห่ง</t>
  </si>
  <si>
    <t xml:space="preserve"> - สถานสงเคาะห์ 29 แห่ง</t>
  </si>
  <si>
    <t xml:space="preserve">ค่าวัสดุการเกษตรเพื่อให้เด็กได้เรียนรู้ในการทำการเกษตร </t>
  </si>
  <si>
    <t>ค่าเวชภัณฑ์ยาสำหรับใช้ในกรณีที่เจ็บป่วยและรักษาเบื้องต้น</t>
  </si>
  <si>
    <t xml:space="preserve"> - การสงเคราะห์เด็กเอดส์</t>
  </si>
  <si>
    <t>ค่าสมนาคุณสำหรับผู้มาให้ความรู้แก่บุคลากรและเด็กในความอุประ</t>
  </si>
  <si>
    <t xml:space="preserve"> - ด้านการสงเคราะห์เด็กเอดส์</t>
  </si>
  <si>
    <t xml:space="preserve"> - งานสงเคราะห์เด็กเอดส์</t>
  </si>
  <si>
    <t xml:space="preserve"> - การให้ความรู้เรื่องการป้องกันปัญหาเอดส์ของสถานสงเคราะห์</t>
  </si>
  <si>
    <t xml:space="preserve"> - ผู้ปฏิบัติงานด้านการเลี้ยงดูเด็กติดเชื้อเอดส์ในสถานสงเคราะห์ 4 แห่งๆ 5 คน</t>
  </si>
  <si>
    <t xml:space="preserve"> - การสงเคราะห์เด็กเอดส์ในสถานสงเคราะห์</t>
  </si>
  <si>
    <t>ค่าวัสดุอุปกรณ์เกี่ยวกับการเสริมทักษะ และพัฒนาการการเรียนรู้ให้เหมาะสม</t>
  </si>
  <si>
    <t xml:space="preserve"> - สถานบันเพาะกล้าคุณธรรม</t>
  </si>
  <si>
    <t xml:space="preserve"> - ค่าพาหนะพาเด็กไปทัศนศึกษานอกสถานที่  สถานบันเพากล้าคุณธรรม</t>
  </si>
  <si>
    <t xml:space="preserve"> - ค่าเบี้ยเลี้ยงพาหนะ สำหรับจนท.ในการเดินทางไปราชการ สถานบันเพาะกล้าคุณธรรม</t>
  </si>
  <si>
    <t xml:space="preserve"> - สถานสงเคราห์ 29 แห่ง</t>
  </si>
  <si>
    <t xml:space="preserve"> - สถานสงเคาะห์  29 แห่ง</t>
  </si>
  <si>
    <t xml:space="preserve"> - สถาบันเพาะกล้าคุณธรรม</t>
  </si>
  <si>
    <t>ค่าวัสดุก่อสร้างสำหรับการซ่อมแซมอาคารสถานที่ให้มีสภาพแข็งแรง ฯ 30 แห่ง</t>
  </si>
  <si>
    <t xml:space="preserve"> - สถานสงเคราะห์  30 แห่ง</t>
  </si>
  <si>
    <t xml:space="preserve">  - ค่าตอบแทนคณะกรรมการแลกเปลี่ยนเรียนรู้เพื่อพัฒนาทักษะชีวิตเด็กต่างวัฒนธรรม จำนวน 7 คน x 500 บาท = 3,500 บาท และค่าตอบแทนคณะกรรมการตัดสินองค์กรปกครองส่วนท้องถิ่นที่มีผลการดำเนินงานด้านเด็กดีเด่น จำนวน 7 คน x 500 บาท = 3,500 บาท</t>
  </si>
  <si>
    <t>1.เดินทางไปราชการ รวม 200,370 บาท</t>
  </si>
  <si>
    <t xml:space="preserve"> - ค่าเบี้ยเลี้ยง 2 คน x 240 บาท x 7 วัน = 3,360 บาท</t>
  </si>
  <si>
    <t xml:space="preserve"> - ค่าเบี้ยเลี้ยง 3 คน x 240 บาท x 16 วัน = 11,520 บาท</t>
  </si>
  <si>
    <t xml:space="preserve"> - ค่าเบี้ยเลี้ยง 1 คน x 270 บาท x 7 วัน = 1,890 บาท</t>
  </si>
  <si>
    <t xml:space="preserve"> - ค่าที่พัก 1 คน x 1,200 บาท x 4 วัน = 4,800 บาท</t>
  </si>
  <si>
    <t xml:space="preserve"> - ค่าที่พัก 2 คน x 800 บาท x 3 วัน = 4,800 บาท</t>
  </si>
  <si>
    <t xml:space="preserve"> - ค่าที่พัก 2 คน x 600 บาท x 1 วัน = 1,200 บาท</t>
  </si>
  <si>
    <t xml:space="preserve"> - ค่าที่พัก 3 คน x 800 บาท x 16 วัน = 38,400 บาท</t>
  </si>
  <si>
    <t xml:space="preserve"> - ค่าพาหนะ 3 คน x 8,600 บาท x 5 ครั้ง = 129,000 บาท</t>
  </si>
  <si>
    <t xml:space="preserve"> - ค่าพาหนะ 3 คน x 600 บาท x 3 ครั้ง = 5,400 บาท</t>
  </si>
  <si>
    <t xml:space="preserve">2.เดินทางไปจัดอบรม รวม 192,240 บาท </t>
  </si>
  <si>
    <t xml:space="preserve"> - ค่าเบี้ยเลี้ยง 3 คน x 240 บาท x 5 วัน = 3,600 บาท</t>
  </si>
  <si>
    <t xml:space="preserve"> - ค่าเบี้ยเลี้ยง 4 คน x 240 บาท x 4 วัน = 3,840 บาท</t>
  </si>
  <si>
    <t xml:space="preserve"> - ค่าเบี้ยเลี้ยง 1 คน x 270 บาท x 5 วัน = 1,350 บาท</t>
  </si>
  <si>
    <t xml:space="preserve"> - ค่าที่พัก 3 คน x 750 บาท x 3 วัน = 6,750 บาท</t>
  </si>
  <si>
    <t xml:space="preserve"> - ค่าที่พัก 4 คน x 750 บาท x 3 วัน = 9,000 บาท</t>
  </si>
  <si>
    <t xml:space="preserve"> - ค่าที่พัก 5 คน x 750 บาท x 2 วัน = 7,500 บาท</t>
  </si>
  <si>
    <t xml:space="preserve"> - ค่าพาหนะ 2 คน x 600 บาท x 2 ครั้ง = 2,400 บาท</t>
  </si>
  <si>
    <t xml:space="preserve"> - ค่าพาหนะ 2 คน x 8,600 บาท x 2 ครั้ง = 17,200 บาท</t>
  </si>
  <si>
    <t xml:space="preserve"> - ค่าพาหนะ 5 คน x 600 บาท x 1 ครั้ง = 3,000 บาท</t>
  </si>
  <si>
    <t xml:space="preserve"> - ค่าพาหนะ 3 คน x 8,600 บาท x 4 ครั้ง = 103,200 บาท</t>
  </si>
  <si>
    <t xml:space="preserve"> - ค่าพาหนะ 4 คน x 8,600 บาท x 1 ครั้ง = 34,400 บาท</t>
  </si>
  <si>
    <t>1.จ้างรถยนต์โดยสารและรถบัสเดินทางไปราชการและจัดอบรม</t>
  </si>
  <si>
    <t xml:space="preserve">   - รถตู้ 1 คัน x 1,800 บาท x 6 วัน = 10,800 บาท</t>
  </si>
  <si>
    <t xml:space="preserve">   - รถตู้ 2 คัน x 1,800 บาท x 16 วัน = 57,600 บาท</t>
  </si>
  <si>
    <t xml:space="preserve">   - รถตู้ 1 คัน x 1,800 บาท x 9 วัน = 16,200 บาท</t>
  </si>
  <si>
    <t xml:space="preserve">   - รถบัส 2 คัน x 25,000 บาท x 3 วัน = 150,000 บาท</t>
  </si>
  <si>
    <t>2.จ้างผลิตสื่อองค์ความรู้ คู่มือการดำเนินงาน นิทรรศการแสดงผลงานประกอบการจัดกิจกรรมโครงการและเพื่อสนับสนุนให้กับเครือข่ายจัดกิจกรรมให้เด็กในพื้นที่</t>
  </si>
  <si>
    <t>1.หลักสูตรการปฐมนิเทศครอบครัวรับรอง จำนวน 1 รุ่นๆละ 90 คน</t>
  </si>
  <si>
    <t>2.หลักสูตรการจัดกิจกรรมแลกเปลี่ยนเรียนรู้เพื่อการพัฒนาทักษะชีวิตเด็กต่างวัฒนธรรม จำนวน 1 รุ่นๆละ 85 คน</t>
  </si>
  <si>
    <t>3.หลักสูตรการอบรมเชิงปฏิบัติการ "รวมพลังแกนนำเด็กจากอดีตสู่อนาคตเพื่อสร้างสรรค์สังคม"จำนวน 1 รุ่นๆละ 105 คน</t>
  </si>
  <si>
    <t>4.หลักสูตรการประชุมเชิงปฎิบัติการติดตามประเมินผล จำนวน 1 รุ่นๆละ 85 คน</t>
  </si>
  <si>
    <t>5.หลักสูตรการอบรมเชิงปฏิบัติการรวมพลังเครือข่ายด้านเด็กและเยาวชนระดับตำบล จำนวน 1 รุ่นๆละ 100 คน</t>
  </si>
  <si>
    <t>6.หลักสูตรการยกย่องเชิดชูเกียรติพื้นที่ที่มีผลงานดีเด่น จำนวน 1 รุ่นๆละ 80 คน</t>
  </si>
  <si>
    <t>7.หลักสูตรการประชุมสร้างความเข้าใจการดำเนินงานให้กับเครือข่าย จำนวน 1 รุ่นๆละ 65 คน</t>
  </si>
  <si>
    <t>8.หลักสูตรการประชุมถอดบทเรียน จำนวน 1 รุ่นๆละ 70 คน</t>
  </si>
  <si>
    <t>การประชุมคณะกรรมการแลกเปลี่ยนฯ = 72,500 บาท/การประชุมเตรียมความพร้อมจังหวัดแลกเปลี่ยน = 3,700 บาท และการประชุมคณะกรรมการตัดสิน อปท.ดีเด่น = 16,350 บาท</t>
  </si>
  <si>
    <t>(5) ค่าประกันภัย</t>
  </si>
  <si>
    <t>(6) ค่าใช้จ่ายในการฝึกอาชีพ</t>
  </si>
  <si>
    <t>(7) ค่าใช้จ่ายในการจัดกิจกรรมส่งเสริมศักยภาพเด็กและเยาวชนในจังหวัดชายแดนภาคใต้</t>
  </si>
  <si>
    <t>สนับสนุนงบประมาณให้กับ 5 จังหวัดชายแดนภาคใต้ สำหรับจัดกิจกรรมในพื้นที่ 3 กิจกรรม คือ 1) กิจกรรมการแลกเปลี่ยนเรียนรู้เพื่อพัฒนาทักษะชีวิตเด็กต่างวัฒนธรรม = 369,500 บาท 2) กิจกรรมชุมชนสร้างภูมิคุ้มกันสำหรับเด็กและเยาวชนใน 10 อบต. = 1,252,000 บาท และ 3) กิจกรรมการเสริมสร้างทักษะการงานสำหรับเด็กและเยาวชน = 1,692,000 บาท</t>
  </si>
  <si>
    <t xml:space="preserve">   - ค่าจ้างเหมาบุคคลภายนอกโครงการพัฒนาคุณภาพชีวิตเด็กและเยาวชนในจังหวัดชายแดนภาคใต้ ดย. 1 ตำแหน่ง</t>
  </si>
  <si>
    <t xml:space="preserve"> - จ้างเจ้าหน้าทีช่วยปฏิบัติงานโครงการพัฒนาคุณภาพชีวิตเด็กและเยาวชนในจังหวัดชายแดนภาคใต้ ดย. 1 คน 15,000 x 12 ดือน x 1 คน = 180,0000 บาท</t>
  </si>
  <si>
    <t>ค่าน้ำมันเชื้อเพลิง สำหรับเจ้าหน้าที่เดินทางไปราชการเพื่อเตรียมการจัดอบรมกิจกรรมและการติดตามผลในพื้นที่</t>
  </si>
  <si>
    <t>โครงการ :  ประชากรเป้าหมายทุกช่วงวัยได้รับการพัฒนาให้มีความมั่นคงในชีวิต</t>
  </si>
  <si>
    <t>กิจกรรม : การเสริมสร้างทักษะชีวิตเด็กและเยาวชน</t>
  </si>
  <si>
    <t>(1) ค่าอาหารทำการนอกเวลา</t>
  </si>
  <si>
    <t xml:space="preserve"> - ค่าตอบแทนทำงานนอกเวลาสำหรับข้าราชการและเจ้าหน้าที่ปฏิบัติงานโครงการเงินอุดหนุนเพื่อการเลี้ยงดูเด็กแรกเกิดในกรณีที่มีงานด่วน เช่น การจัดประชุม คณะกรรมการการจัดอบรมสัมมนาโครงการต่างๆ 200 บาท x 300 วัน x 5 คน = 300,000 บาท</t>
  </si>
  <si>
    <t xml:space="preserve"> - ค่าตอบแทนทำงานนอกเวลาสำหรับข้าราชการและเจ้าหน้าที่ปฏิบัติงานโครงการพัฒนาคุณภาพชีวิตเด็กปฐมวัยในกรณีที่มีงานด่วน เช่น การจัดประชุม คณะกรรมการการจัดอบรมสัมมนาโครงการต่างๆ  200 บาท x 22 วัน x 3 คน = 13,200 บาท</t>
  </si>
  <si>
    <t>1.ค่าตอบแทนคณะทำงานติดตามและประเมินผลโครงการเงินอุดหนุนเพื่อการเลี้ยงดูเด็กแรกเกิด จำนวน 3 ครั้งๆละ 30 คน</t>
  </si>
  <si>
    <t>1.คณะกรรมการส่งเสริมการพัฒนาเด็กและเยาวชนแห่งชาติโครงการพัฒนาคุณภาพชีวิตเด็กปฐมวัย = 6,367,000 บาท</t>
  </si>
  <si>
    <t xml:space="preserve">   - คณะอนุกรรมการส่งเสริมการพัฒนาเด็กปฐมวัยระดับจังหวัด (76 จังหวัด x 20,250 บาท x 4 ครั้ง = 6,156,000 บาท</t>
  </si>
  <si>
    <t xml:space="preserve">   - คณะอนุกรรมการส่งเสริมการพัฒนาเด็กกรุงเทพมหานคร (1 จังหวัด x 21,250 บาท x 4 ครั้ง = 85,000 บาท</t>
  </si>
  <si>
    <t xml:space="preserve">   - คณะอนุกรรมการประสานและส่งเสริมการพัฒนาเด็กปฐมวัย (4 ครั้ง x 31,500 บาท = 126,000 บาท</t>
  </si>
  <si>
    <t>2.คณะอนุกรรมการส่งเสริมกิจการสภาเด็กและเยาวชน จำนวน 21,500 บาท x 6 ครั้ง = 129,000 บาท</t>
  </si>
  <si>
    <t>1.ค่าใช้จ่ายสำหรับเดินทางไปราชการเพื่อติดตามผลการดำเนินงานโครงการเงินอุดหนุนเพื่อการเลี้ยงดูเด็กแรกเกิด = 300,800 บาท</t>
  </si>
  <si>
    <t xml:space="preserve">   - ค่าเบี้ยเลี้ยง 5 คน x 240 บาท x 59 วัน = 70,800 บาท</t>
  </si>
  <si>
    <t xml:space="preserve">   - ค่าที่พัก 5 คน x 750 บาท x 36 วัน = 135,000 บาท</t>
  </si>
  <si>
    <t xml:space="preserve">   - ค่าพาหนะ 5 คน x 1,000 บาท x 19 ครั้ง = 95,000 บาท</t>
  </si>
  <si>
    <t>2.ค่าใช้จ่ายสำหรับเดินทางไปราชการเพื่อติดตามผลการดำเนินงานโครงการพัฒนาคุณภาพชีวิตเด็กปฐมวัย = 1,103,900 บาท</t>
  </si>
  <si>
    <t>3.ค่าใช้จ่ายสำหรับเดินทางไปราชการเพื่อติดตามผลการดำเนินงานโครงการป้องกันและเสริมสร้างภูมิคุ้มกันสำหรับเด็กและเยาวชนอย่างมีส่วนร่วม = 132,200 บาท</t>
  </si>
  <si>
    <t xml:space="preserve">   - ค่าเบี้ยเลี้ยง 5 คน x 240 บาท x 16 วัน = 19,200 บาท</t>
  </si>
  <si>
    <t xml:space="preserve">   - ค่าที่พัก 5 คน x 750 บาท x 12 วัน = 45,000 บาท</t>
  </si>
  <si>
    <t xml:space="preserve">   - ค่าพาหนะ 5 คน x 600 บาท x 4 ครั้ง = 12,000 บาท</t>
  </si>
  <si>
    <t xml:space="preserve">   - ค่าพาหนะเครื่องบิน 2 คน x 7,000 บาท x 4 ครั้ง = 56,000 บาท</t>
  </si>
  <si>
    <t>4.ค่าใช้จ่ายสำหรับเดินทางไปราชการเพื่อติดตามผลการดำเนินงานโครงการเสริมสร้างความเข้มแข็งสภาเด็กและเยาวชน = 500,000 บาท</t>
  </si>
  <si>
    <t>5.ค่าใช้จ่ายสำหรับเดินทางไปราชการเพื่อติดตามผลการดำเนินงานโครงการป้องกันและแก้ไขปัญหาการตั้งครรภ์ในวัยรุ่น = 2,861,000 บาท</t>
  </si>
  <si>
    <t>(2) ค่าซ่อมแซมครุภัณฑ์</t>
  </si>
  <si>
    <t>โครงการพัฒนาคุณภาพชีวิตเด็กปฐมวัย เป็นค่าซ่อมครุภัณฑ์ที่ใช้ประจำสำนักงาน ครุภัณฑ์ฝึกอาชีพและเครื่องใช้ไฟฟ้า ได้แก่ เครื่องถ่ายเอกสาร เตียงนอน เครื่องซักผ้า เก้าอี้นักเรียน ฯลฯ เนื่องจากครุภัณฑ์บางหน่วยงานมีการใช้งานมานานมีสภาพชำรุด</t>
  </si>
  <si>
    <t>(3) ค่าจ้างเหมาบริการ</t>
  </si>
  <si>
    <t>1.จ้างเหมาบริการโครงการเงินอุดหนุนเพื่อการเลี้ยงดูเด็กแรกเกิด = 3,486,800 บาท</t>
  </si>
  <si>
    <t xml:space="preserve"> - พัฒนาระบบฐานข้อมูลโครงการเงินอุดหนุนเพื่อการเลี้ยงดูเด็กแรกเกิด</t>
  </si>
  <si>
    <t xml:space="preserve"> - จัดจ้างผลิตเอกสารเพื่อการประชาสัมพันธ์และเผยแพร่ข้อมูลโครงการเงินอุดหนุนเพื่อการเลี้ยงดูเด็กแรกเกิด</t>
  </si>
  <si>
    <t>2.จ้างเหมาบริการโครงการพัฒนาคุณภาพชีวิตเด็กปฐมวัย = 10,232,500 บาท</t>
  </si>
  <si>
    <t xml:space="preserve">   - จ้างเหมาทำความสะอาดกำจัดปลวกสถานรับเลี้ยงเด็ก จำนวน 6 แห่ง x 12,000 บาท x 3 ครั้ง = 216,000 บาท</t>
  </si>
  <si>
    <t xml:space="preserve">   - จ้างเหมาพนักงานรักษาความปลอดภัยสถานรับเลี้ยงเด็ก จำนวน 4 แห่ง x 18,000 บาท x 12 เดือน x 2 คน = 1,728,000 บาท</t>
  </si>
  <si>
    <t xml:space="preserve">   - จ้างจัดทำโปสเตอร์ แผ่นพับ หนังสือเอกสารเพื่อแผยแพร่ข้อมูลองค์ความรู้ จำนวน 30,000 ชุด = 6,395,900 บาท</t>
  </si>
  <si>
    <t xml:space="preserve">   - จ้างออกาไนซ์จัดกิจกรรมเพื่อแผยแพร่ประชาสัมพันธ์ = 1,367,000 บาท</t>
  </si>
  <si>
    <t xml:space="preserve">   - จ้างรถตู้โดยสารเพื่อเดินทางติดตามประเมินผลการดำเนินงานโครงการ = 525,600 บาท</t>
  </si>
  <si>
    <t>3.จ้างเหมาบริการโครงการป้องกันและเสริมสร้างภูมิคุ้มกันสำหรับเด็กและเยาวชนอย่างมีส่วนร่วม</t>
  </si>
  <si>
    <t xml:space="preserve">   - จ้างรถตู้โดยสารเพื่อเดินทางติดตามประเมินผลการดำเนินงานโครงการ = 43,200 บาท</t>
  </si>
  <si>
    <t>4.จ้างเหมาบริการโครงการเสริมสร้างความเข้มแข็งสภาเด็กและเยาวชน = 6,058,700 บาท</t>
  </si>
  <si>
    <t xml:space="preserve">   - จ้างเหมาจัดงานมหกรรมรวมพลังเด็กและเยาวชนไทย = 5,202,900 บาท</t>
  </si>
  <si>
    <t xml:space="preserve">   - จ้างหมาจัดทำองค์ความรู้และพัฒนาองค์ความรู้ด้านเด็กและเยาวชน = 855,800 บาท</t>
  </si>
  <si>
    <t>5.จ้างเหมาบริการโครงการป้องกันและแก้ไขปัญหาตั้งครรภ์ในวัยรุ่น = 11,300,000 บาท</t>
  </si>
  <si>
    <t xml:space="preserve">   - จ้างเหมาจัดทำและผลิตเอกสารวิชาการและเอกสารที่เกี่ยวข้องเกี่ยวกับข้อมูลการป้องกันและแก้ไขปัญหาตั้งครรภ์ในวัยรุ่น = 500,000 บาท</t>
  </si>
  <si>
    <t xml:space="preserve">   - จ้างหมาจัดพิมพ์คู่มือการคุ้มครองช่วยเหลือวัยรุ่นที่ตั้งครรภ์ = 300,000 บาท</t>
  </si>
  <si>
    <t xml:space="preserve">   - จ้างหมาจัดประกวดกิจกรรมสร้างสรรค์การป้องกันแก้ไขปัญหาการตั้งครรภ์ในวัยรุ่น = 5,500,000 บาท</t>
  </si>
  <si>
    <t xml:space="preserve">   - จ้างหมาจัดทำสื่อสร้างสรรค์ในการป้องกันแก้ไขปัญหาการตั้งครรภ์ในวัยรุ่น = 5,000,000 บาท</t>
  </si>
  <si>
    <t>1.อบรมสัมมนาโครงการเงินอุดหนุนเพื่อการเลี้ยงดูเด็กแรกเกิด = 5,410,000 บาท</t>
  </si>
  <si>
    <t xml:space="preserve">   - หลักสูตรส่งเสริมสวัสดิภาพเด็กแรกเกิดให้มีความมั่นคงในชีวิต จำนวน 10 รุ่นๆละ 200 คน เป็นเงิน 5,41,000 บาท</t>
  </si>
  <si>
    <t>2.อบรมสัมมนาโครงการพัฒนาคุณภาพชีวิตเด็กปฐมวัย = 26,411,500 บาท</t>
  </si>
  <si>
    <t xml:space="preserve"> - ประชุมเชิงปฏิบัติการและแถลงข่าวระดับนโยบายในการขับเคลื่อนมาตรฐานเด็กเล็กแห่งชาติสู่การปฏิบัติ จำนวน 1 รุ่นๆละ 200 คน</t>
  </si>
  <si>
    <t xml:space="preserve">   - หลักสูตรเพื่อพัฒนาศักยภาพวิทยากรต้นแบบ (ครู ก) รูปแบบมาตรฐานการปฏิบัติการ จำนวน 2 รุ่นๆละ 60 คน</t>
  </si>
  <si>
    <t xml:space="preserve">   - หลักสูตรเพื่อพัฒนาศักยภาพหัวหน้าศูนย์เด็กเล็ก/ผู้ดูแลเด็ก จำนวน 7 รุ่นๆละ 150 คน</t>
  </si>
  <si>
    <t xml:space="preserve">  - หลักสูตรเพื่อพัฒนาศักยภาพผู้ดำเนินกิจการ/พี่เลี้ยงเด็ก/ผู้ปกครองสถานรับเลี้ยงเด็กเอกชนตามรูปแบบมาตรฐานฯส่วนภูมิภาค จำนวน 2 รุ่นๆละ 50 คน</t>
  </si>
  <si>
    <t xml:space="preserve">  - หลักสูตรเพื่อพัฒนาศักยภาพผู้ดำเนินกิจการ/พี่เลี้ยงเด็ก/ผู้ปกครองสถานรับเลี้ยงเด็กเอกชนตามรูปแบบมาตรฐานฯส่วนกลาง จำนวน 1 รุ่นๆละ 50 คน</t>
  </si>
  <si>
    <t>3.อบรมสัมมนาโครงการป้องกันและเสริมสร้างภูมิคุ้มกันสำหรับเด็กและเยาวชนอย่างมีส่วนร่วม เป็นเงิน 9,549,300 บาท</t>
  </si>
  <si>
    <t xml:space="preserve">   - หลักสูตร "สัญญาใจ สายใยครอบครัว" จำนวน 4 ภาค 8 รุ่นๆละ 200 คน</t>
  </si>
  <si>
    <t xml:space="preserve">   - หลักสูตรเชิงปฎิบัติการเพื่อถอดบทเรียน จำนวน 1 ครั้ง 150 คน</t>
  </si>
  <si>
    <t>4.อบรมสัมมนาโครงการเสริมสร้างความเข้มแข็งสภาเด็กและเยาวชน เป็นเงิน 14,220,650 บาท</t>
  </si>
  <si>
    <t xml:space="preserve">   - หลักสูตรเพื่อการวางแผนจัดทำและชี้แจงแนวทางตามโครงการส่งเสริมความเข้มแข็งสภาเด็กและเยาวชน จำนวน 1 ครั้ง 90 คน  = 554,000 บาท</t>
  </si>
  <si>
    <t xml:space="preserve">   - หลักสูตรการพัฒนาศักยภาพและการคัดเลือกประธานและคณะบริหารสภาเด็กและเยาวชน จำนวน 1 ครั้ง 130 คน = 838,500 บาท</t>
  </si>
  <si>
    <t xml:space="preserve">   - หลักสูตรการจัดสมัชชาเด็กและเยาวชน 4 ภาค จำนวน 4 ครั้งๆละ 100 คน = 2,183,400 บาท</t>
  </si>
  <si>
    <t xml:space="preserve">   - หลักสูตรการจัดสมัชชาเด็กและเยาวชนแห่งชาติ จำนวน 1 ครั้ง 250 คน = 1,430,100 บาท </t>
  </si>
  <si>
    <t xml:space="preserve">   - หลักสูตรการพัฒนาศักยภาพเด็กและเยาวชนเพื่อเสริมสร้างความเข้มแข็งตามช่วงวัยก้าวทันการเปลี่ยนแปลง จำนวน 4 ครั้งๆละ 90 คน = 4,061,000 บาท</t>
  </si>
  <si>
    <t xml:space="preserve">   - หลักสูตรการเสริมสร้างความเข้มแข็งเครือข่าย จำนวน 12 ครั้งๆละ 70 คน = 4,362,200 บาท</t>
  </si>
  <si>
    <t xml:space="preserve">   - หลักสูตรเชิงปฎิบัติการเพื่อถอดบทเรียน จำนวน 1 ครั้ง 135 คน = 791,450 บาท</t>
  </si>
  <si>
    <t>5.อบรมสัมมนาโครงการป้องกันและแก้ไขปัญหาการตั้งครรภ์ในวัยรุ่น เป็นเงิน 25,820,000 บาท</t>
  </si>
  <si>
    <t xml:space="preserve">   - หลักสูตรการจัดทำแนวทางการสร้างพื้นที่และกิจกรรมสร้างสรรค์สำหรับเด็กและครอบครัว จำนวน 1 รุ่น 40 คน = 176,000 บาท</t>
  </si>
  <si>
    <t xml:space="preserve">   - ประชุมเชิงปฏิบัติการองค์กรปกครองส่วนท้องถิ่นเพื่อสร้างความรู้ความเข้าใจการนำแนวทางการสร้างพื้นที่และกิจกรรมสร้างสรรค์สำหรับเด็กและครอบครัวไปสู่การปฏิบัติในพื้นที่ จำนวน 2 รุ่นๆละ 50 คน = 854,000 บาท</t>
  </si>
  <si>
    <t xml:space="preserve">   - หลักสูตรการถอดบทเรียนการนำแนวทางการสร้างพื้นที่และกิจกรรมสร้างสรรค์สำหรับเด็กและครอบครัวสู่การปฏิบัติในพื้นที่ จำนวน 1 ครั้ง 90 คน = 388,400 บาท</t>
  </si>
  <si>
    <t xml:space="preserve">   - หลักสูตรการติดตามการดำเนินงานป้องกันและแก้ไขปัญหาการตั้งครรภ์ในวัยรุ่น จำนวน 4 ครั้งๆละ 120 คน = 1,801,600 บาท</t>
  </si>
  <si>
    <t xml:space="preserve">   - หลักสูตรการเสริมสร้างความรู้ความเข้าใจเกี่ยวกับการป้องกันและแก้ไขปัญหาการตั้งครรภ์ในวัยรุ่นแก่ผู้ปฏิบัติงาน จำนวน 1 ครั้ง 200 คน = 800,000 บาท</t>
  </si>
  <si>
    <t xml:space="preserve">   - หลักสูตรการพัฒนาคู่มือการคุ้มครองช่วยเหลือวัยรุ่นที่ตั้งครรภ์ จำนวน 1 ครั้ง 300 คน = 2,400,000 บาท</t>
  </si>
  <si>
    <t xml:space="preserve">   - หลักสูตรส่งเสริมบทบาทองค์กรปกครองส่วนท้องถิ่นให้มีส่วนร่วมในการป้องกันและแก้ไขปัญหาการตั้งครรภ์ในวัยรุ่น(ขยายผล) จำนวน 4 ครั้งๆละ 150 คน = 6,400,000 บาท</t>
  </si>
  <si>
    <t xml:space="preserve">   - หลักสูตรกิจกรรมสร้างสรรค์สำหรับเด็กและเยาวชนในการป้องกันและแก้ไขปัญหาการตั้งครรภ์ในวัยรุ่น (DJ TEEN) (ขยายผล) จำนวน 4 รุ่นๆละ 250 คน = 7,500,000 บาท</t>
  </si>
  <si>
    <t xml:space="preserve">   - หลักสูตรการถอดบทเรียนกิจกรรมสร้างสรรค์การป้องกันและแก้ไขปัญหาการตั้งครรภ์ในวัยรุ่น จำนวน 1 ครั้ง 500 คน = 5,500,000 บาท</t>
  </si>
  <si>
    <t>1.จัดประชุมการดำเนินโครงการเงินอุดหนุนเพื่อการเลี้ยงดูเด็กแรกเกิด</t>
  </si>
  <si>
    <t>2.จัดประชุมคณะกรรมการโครงการพัฒนาคุณภาพชีวิตเด็กปฐมวัย</t>
  </si>
  <si>
    <t xml:space="preserve">   - คณะอนุกรรมการส่งเสริมการพัฒนาเด็กปฐมวัยระดับจังหวัด</t>
  </si>
  <si>
    <t xml:space="preserve">   - คณะอนุกรรมการส่งเสริมการพัฒนาเด็กกรุงเทพมหานคร</t>
  </si>
  <si>
    <t xml:space="preserve">   - คณะอนุกรรมการประสานและส่งเสริมการพัฒนาเด็กปฐมวัย</t>
  </si>
  <si>
    <t>3.จัดประชุมโครงการเสริมสร้างความเข้มแข็งสภาเด็กและเยาวชน = 2,487,500 บาท</t>
  </si>
  <si>
    <t xml:space="preserve">   - การประชุมคณะอนุกรรมการส่งเสริมกิจการสภาเด็กและเยาวชน จำนวน 6 ครั้ง</t>
  </si>
  <si>
    <t xml:space="preserve">   - การประชุมคณะทำงานจัดทำหลักสูตรเสริมสร้างความเข้มแข็งสภาเด็กและเยาวชน จำนวน 3 ครั้ง</t>
  </si>
  <si>
    <t xml:space="preserve">   - การประชุมชี้แจงเงินอุดหนุนงบประมาณแก่องค์กรสาธารณประโยชน์</t>
  </si>
  <si>
    <t xml:space="preserve">   - การประชุมเตรียมการพิจารณาการจัดสรรงบประมาณแก่สภาเด็กและเยาวชนทั้ง 77 จังหวัด = 1,300,000 บาท</t>
  </si>
  <si>
    <t>4.จัดประชุมโครงการป้องกันและแก้ไขปัญหาตั้งครรภ์ในวัยรุ่น = 109,400 บาท</t>
  </si>
  <si>
    <t xml:space="preserve">   - การประชุมสรุปผลการติดตามการดำเนินงานป้องกันและแก้ไขปัญหาการตั้งครรภ์ในวัยรุ่น</t>
  </si>
  <si>
    <t xml:space="preserve">   - การประชุมคณะทำงานเพื่อปรับปรุงคู่มือการคุ้มครองช่วยเหลือวัยรุ่นที่ตั้งครรภ์</t>
  </si>
  <si>
    <t>สนับสนุนงบประมาณให้ สนง.พมจ.เพื่อจัดกิจกรรมเตรียมความพร้อมและสร้างความเข้าใจเรื่องเงินอุดหนุนเพื่อการเลี้ยงดูเด็กแรกเกิด จำนวน 77 จังหวัดๆละ 50,000 บาท</t>
  </si>
  <si>
    <t>(7) ค่าใช้จ่ายในการจัดกิจกรรมเพื่อติดตามผลการจัดประชุมตามรูปแบบมาตรฐานการปฏิบัติการในสถานรับเลี้ยงเด็กเอกชน</t>
  </si>
  <si>
    <t>สนับสนุนงบประมาณให้ สนง.พมจ.เพื่อจัดกิจกรรมติดตามผลการจัดประชุมตามรูปแบบมาตรฐานการปฏิบัติการในสถานรับเลี้ยงเด็กเอกชน จำนวน 76 จังหวัดๆละ 57,600 บาท</t>
  </si>
  <si>
    <t>(8) ค่าใช้จ่ายในการจัดกิจกรรมป้องกันและแก้ไขปัญหาการตั้งครรภ์ในวัยรุ่น</t>
  </si>
  <si>
    <t>1.ขับเคลื่อนการดำเนินงานป้องกันและแก้ไขปัญหาการตั้งครรภ์ในวัยรุ่นระดับจังหวัด จัดสรร 77 จังหวัดๆละ 100,000 บาท = 7,700,000 บาท</t>
  </si>
  <si>
    <t>2.สนับสนุนองค์กรปกครองส่วนท้องถิ่นนำแนวทางการสร้างพื้นที่และกิจกรรมสร้างสรรค์สำหรับเด็กและครอบครัวจำนวน 10 จังหวัดๆละ 2 ตำบลๆละ 50,000 บาท = 2,000,000 บาท</t>
  </si>
  <si>
    <t>3.สนับสนุนองค์กรปกครองส่วนท้องถิ่นดำเนินกิจกรรมสร้างสรรค์ในการป้องกันปัญหาการตั้งครรภ์ในวัยรุ่น จำนวน 456 แห่งๆละ 50,000 บาท = 22,800,000 บาท</t>
  </si>
  <si>
    <t>4.สนับสนุนการดำเนินงานจัดกิจกรรมสร้างสรรค์สำหรับเด็กและเยาวชนในการป้องกันปัญหาการตั้งครรภ์ในวัยรุ่น จำนวน 76 จังหวัดๆละ 120,000 บาท = 9,120,000 บาท</t>
  </si>
  <si>
    <t xml:space="preserve">   - ค่าจ้างเหมาบุคคลภายนอกโครงการเงินอุดหนุนเพื่อการเลี้ยงดูเด็กแรกเกิด จำนวน 5 ตำแหน่ง</t>
  </si>
  <si>
    <t xml:space="preserve"> - จ้างเจ้าหน้าทีช่วยปฏิบัติงานโครงการเงินอุดหนุนเพื่อการเลี้ยงดูเด็กแรกเกิด เดือนละ 15,000 บาท x 12 ดือน x 5 คน = 900,0000 บาท</t>
  </si>
  <si>
    <t xml:space="preserve">   - ค่าจ้างเหมาบุคคลภายนอกโครงการพัฒนาคุณภาพชีวิตเด็กปฐมวัย จำนวน 36 ตำแหน่ง</t>
  </si>
  <si>
    <t xml:space="preserve"> - จ้างเจ้าหน้าทีช่วยปฏิบัติงานโครงการพัฒนาคุณภาพชีวิตเด็กปฐมวัยเพื่อการพัฒนาสถานรับเลี้ยงเด็กและพัฒนาเด็กปฐมวัย เดือนละ 15,000 บาท x 12 ดือน x 36 คน = 6,480,000 บาท</t>
  </si>
  <si>
    <t xml:space="preserve">   - ค่าจ้างเหมาบุคคลภายนอกโครงการป้องกันและเสริมสร้างภูมิคุ้มกันสำหรับเด็กและเยาวชนอย่างมีส่วนร่วม จำนวน 1 ตำแหน่ง</t>
  </si>
  <si>
    <t xml:space="preserve"> - จ้างเจ้าหน้าทีช่วยปฏิบัติงานโครงการป้องกันและเสริมสร้างภูมิคุ้มกันสำหรับเด็กและเยาวชนอย่างมีส่วนร่วม เดือนละ 15,000 บาท x 12 ดือน x 1 คน = 180,000 บาท</t>
  </si>
  <si>
    <t xml:space="preserve">   - ค่าจ้างเหมาบุคคลภายนอกโครงการเสริมสร้างความเข้มแข็งสภาเด็กและเยาวชน จำนวน 90 ตำแหน่ง</t>
  </si>
  <si>
    <t xml:space="preserve"> - จ้างเจ้าหน้าทีช่วยปฏิบัติงานโครงการเสริมสร้างความเข้มแข็งสภาเด็กและเยาวชน เดือนละ 15,000 บาท x 12 ดือน x 90 คน = 16,200,000 บาท</t>
  </si>
  <si>
    <t xml:space="preserve">   - ค่าจ้างเหมาบุคคลภายนอกโครงการป้องกันและแก้ไขปัญหาตั้งครรภ์ในวัยรุ่น จำนวน 2 ตำแหน่ง</t>
  </si>
  <si>
    <t xml:space="preserve"> - จ้างเจ้าหน้าทีช่วยปฏิบัติงานโครงการป้องกันและแก้ไขปัญหาตั้งครรภ์ในวัยรุ่น เดือนละ 15,000 บาท x 12 ดือน x 2 คน = 360,000 บาท</t>
  </si>
  <si>
    <t>1.วัสดุสำหรับดำเนินการเพื่อจัดทำโครงการเงินอุดหนุนเพื่อการเลี้ยงดูเด็กแรกเกิด = 609,200 บาท</t>
  </si>
  <si>
    <t>2.วัสดุสำหรับดำเนินการเพื่อจัดทำโครงการพัฒนาคุณภาพชีวิตเด็กปฐมวัย = 1,299,500 บาท</t>
  </si>
  <si>
    <t>1.ค่าน้ำมันเชื้อเพลิง สำหรับเจ้าหน้าที่เดินทางไปราชการติดตามประเมินผลการดำเนินงานโครงการพัฒนาคุณภาพชีวิตเด็กปฐมวัย = 302,200 บาท</t>
  </si>
  <si>
    <t>2.ค่าน้ำมันเชื้อเพลิง สำหรับเจ้าหน้าที่เดินทางไปราชการติดตามประเมินผลการดำเนินงานโครงการป้องกันและเสริมสร้างภูมิคุ้มกันสำหรับเด็กและเยาวชนอย่างมีส่วนร่วม = 95,300 บาท</t>
  </si>
  <si>
    <t>3.ค่าน้ำมันเชื้อเพลิง สำหรับเจ้าหน้าที่เดินทางไปราชการติดตามประเมินผลการดำเนินงานโครงการเสริมสร้างความเข้มแข็งสภาเด็กและเยาวชน = 399,950 บาท</t>
  </si>
  <si>
    <t>1.วัสดุการศึกษาสำหรับการพัฒนาสถานรับเลี้ยงและพัฒนาเด็กปฐมวัย</t>
  </si>
  <si>
    <t>1) เงินอุดหนุนสภาเด็กและเยาวชนระดับอำเภอ จังหวัด กทม. และระดับชาติในการพัฒนาเครือข่ายเด็ก-เยาวชนสร้างสรรค์สังคม</t>
  </si>
  <si>
    <t>1.ดำเนินการจ่ายเงินอุดหนุนเพื่อการเลี้ยงดูเด็กแรกเกิด 1,200,000,000 บาท</t>
  </si>
  <si>
    <t xml:space="preserve"> - จ่ายเงินอุดหนุนต่อเนื่องจากปีงบประมาณ 2559 ที่รับยังไม่ครบ 12 เดือน(110,000 คน x 400 บาท = 264,000,000 บาท)</t>
  </si>
  <si>
    <t xml:space="preserve"> - จ่ายเงินอุดหนุนเด็กแรกเกิดปีงบประมาณ 2559 ที่ขอรับต่อเนื่องเป็นปีที่ 2 (120,000 คน x 600 บาท = 468,000,000 บาท)</t>
  </si>
  <si>
    <t xml:space="preserve"> - จ่ายเงินอุดหนุนเด็กแรกเกิดปีงบประมาณ 2560 ที่ขอรับเป็นปีแรก(120,000 คน x 600 บาท = 468,000,000 บาท)</t>
  </si>
  <si>
    <t>สนับสนุนอาหารเสริมและสื่อพัฒนาการเด็ก จำนวน 69 จังหวัด และสนับสนุนสถานรับเลี้ยงเด็กเอกชนที่เก็บค่าบริการต่ำกว่า 1,500 บาท ตามหนังสือหลักเกณฑ์การเบิกจ่ายเงินอุดหนุนสถานรับเลี้ยงเด็กและสถานสงเคราะห์เด็กเอกชนที่ พม 0303/2811 ลงวันที่ 17 ก.พ.48</t>
  </si>
  <si>
    <t>1) ค่าใช้จ่ายในการศึกษาพัฒนามาตรฐานศูนย์เด็กเล็กแห่งชาติ</t>
  </si>
  <si>
    <t>2) ค่าใช้จ่ายในการศึกษาผลการดำเนินงานการจ่ายเงินอุดหนุนเพื่อการเลี้ยงดูเด็กแรกเกิด</t>
  </si>
  <si>
    <t>3) ค่าใช้จ่ายในการศึกษาการพัฒนามาตรฐานสภาเด็กและเยาวชน</t>
  </si>
  <si>
    <t>4) ค่าใช้จ่ายในการศึกษาสถานการณ์การตั้งครรภ์ในวัยรุ่นที่อยู่นอกระบบการศึกษา</t>
  </si>
  <si>
    <t>สำหรับข้าราชการในการเดินทางไปราชการเพื่อติดตามประเมินผลการดำเนินงานโครงการเยาวชนไทยหัวใจใสสะอาดของสภาเด็กและเยาวชน</t>
  </si>
  <si>
    <t xml:space="preserve">  - ค่าเบี้ยเลี้ยง 2 คน x 240 บาท x 5 วัน x 4 ครั้ง = 9,600 บาท</t>
  </si>
  <si>
    <t xml:space="preserve">  - ค่าพาหนะรับจ้าง 2 คน x 1,200 บาท x 4 ครั้ง = 9,600 บาท</t>
  </si>
  <si>
    <t xml:space="preserve">  - ค่าตั๋วเครื่องบิน 2 คน x 8,000 บาท x 3 ครั้ง = 48,000 บาท</t>
  </si>
  <si>
    <t xml:space="preserve">  - ค่าที่พัก 2 คน x 800 บาท x 4 วัน x 4 ครั้ง = 25,600 บาท</t>
  </si>
  <si>
    <t xml:space="preserve">  - ค่าจ้างเหมารถตู้ไปราชการ 1 คัน x 1,800 บาท x 5 วัน x 4 ครั้ง = 36,000 บาท</t>
  </si>
  <si>
    <t xml:space="preserve">  - ค่าจัดทำโล่ประกาศเกียรติคุณกิจกรรมประกวดสภา 5 ดาว = 30,000 บาท</t>
  </si>
  <si>
    <t xml:space="preserve">  - ค่าจัดพิมพ์เอกสารองค์ความรู้ สื่อประชาสัมพันธ์ด้านการพัฒนาเด็กและเยาวชน = 200,000 บาท</t>
  </si>
  <si>
    <t>1.หลักสูตรการขับเคลื่อนเยาวชนไทยหัวใจใสสะอาด จำนวน 4 รุ่นๆละ 170 คน</t>
  </si>
  <si>
    <t xml:space="preserve">2.การอบรมสัมมนาเพื่อถอดบทเรียนกิจกรรมเยาวชนไทยหัวใจใสสะอาด จำนวน 1 ครั้ง 70 คน </t>
  </si>
  <si>
    <t>3.หลักสูตรสภาเด็กและเยาวชนไทยหัวใจพอเพียง จำนวน 1 ครั้ง 115 คน</t>
  </si>
  <si>
    <t xml:space="preserve">   - ค่าจ้างเหมาบุคคลภายนอกโครงการเยาวชนไทยหัวใจใสสะอาด ดย. 1 ตำแหน่ง</t>
  </si>
  <si>
    <t xml:space="preserve"> - จ้างเจ้าหน้าทีช่วยปฏิบัติงานโครงการเยาวชนไทยหัวใจใสสะอาด ดย. 1 คน 15,000 x 12 ดือน x 1 คน = 180,0000 บาท</t>
  </si>
  <si>
    <t>ค่าวัสดุสำนักงานสำหรับการจัดประชุมและอบรมกิจกรรมโครงการเยาวชนไทยหัวใจใสสะอาด</t>
  </si>
  <si>
    <t>อุดหนุนเงินสำหรับสภาเด็กและเยาวชนเพื่อจัดกิจกรรม คือ 1) 77 จังหวัด x 50,000 บาท = 3,850,000 บาท 2) 878 อำเภอ x 20,000 บาท = 17,560,000 บาท และ 3) สภาเด็กและเยาวชนแห่งประเทศไทย x 100,000 บาท = 100,000 บาท</t>
  </si>
  <si>
    <t>ค่าใช้จ่ายในการเดินทางไปราชการติดตามประเมินผล</t>
  </si>
  <si>
    <t xml:space="preserve"> - ค่าเบี้ยเลี้ยงเจ้าหน้าที่ 4 คน x 20 วัน x 240 บาท = 19,200 บาท</t>
  </si>
  <si>
    <t xml:space="preserve"> - ค่าที่พักเจ้าหน้าที่ 4 คน x 20 วัน x 800 บาท = 64,000 บาท</t>
  </si>
  <si>
    <t xml:space="preserve">  - ค่าจ้างรถยนต์โดยสารสำหรับเดืนทางไปราชการเพื่อติดตามประเมินผลการดำเนินงานโครงการ จำนวน 1 คัน x 1,800 บาท x 20 วัน x 2 ครั้ง = 72,000 บาท</t>
  </si>
  <si>
    <t xml:space="preserve">  - ค่าจ้างจัดพิมพ์และเผยแพร่คู่มือการสร้างภูมิคุ้มกันให้เด็กและเยาวชนในมิติความรุนแรงด้านยาเสพติด จำนวน 8,000 เล่ม</t>
  </si>
  <si>
    <t xml:space="preserve">1.หลักสูตรการสร้างภูมิคุ้มกันให้เด็กและเยาวชนในมิติความรุนแรงด้านยาเสพติดโดยเสริมสร้างความสามารถในการจัดการปัญหาและการคิดเชิงบวก จำนวน 4 รุ่นๆ ละ 90 คน </t>
  </si>
  <si>
    <t>2.การอบรมสัมมนาเพื่อถอดบทเรียนการดำเนินกิจกรรม จำนวน 4 รุ่นๆละ 100 คน</t>
  </si>
  <si>
    <t>(5) ค่าใช้จ่ายในการจัดกิจกรรมพัฒนาระบบคุ้มครองและสร้างภูมิคุ้มกันสำหรับเด็กและเยาวชนในมิติความรุนแรงด้านยาเสพติด</t>
  </si>
  <si>
    <t>สนับสนุนงบประมาณให้กับ สนง.พมจ. 40 จังหวัดๆละ 50,000 บาท สำหรับการจัดกิจกรรมเพื่อขยายผลการพัฒนาระบบคุ้มครองและสร้างภูมิคุ้มกันสำหรับเด็กและเยาวชนในมิติความรุนแรงด้านยาเสพติด</t>
  </si>
  <si>
    <t xml:space="preserve">   - ค่าจ้างเหมาบุคคลภายนอกโครงการพัฒนาระบบคุ้มครองและสร้างภูมิคุ้มกันสำหรับเด็กและเยาวชนในมิติความรุนแรงด้านยาเสพติด ดย. 1 ตำแหน่ง</t>
  </si>
  <si>
    <t xml:space="preserve"> - จ้างเจ้าหน้าทีช่วยปฏิบัติงานโครงการพัฒนาระบบคุ้มครองและสร้างภูมิคุ้มกันสำหรับเด็กและเยาวชนในมิติความรุนแรงด้านยาเสพติด ดย. 1 คน 15,000 x 12 ดือน x 1 คน = 180,0000 บาท</t>
  </si>
  <si>
    <t xml:space="preserve"> 5) ค่าใช้จ่ายโครงการเสริมสร้างทักษะชีวิตและความพร้อมในการประกอบอาชีพให้แก่เยาวชนกลุ่มเสี่ยงและที่ออกนอกระบบการศึกษา</t>
  </si>
  <si>
    <t>6) ค่าใช้จ่ายโครงการสร้างเสริมหลักประกันโอกาสทางสังคมแก่เด็กและเยาวชนด้อยโอกาสนอกระบบการศึกษา</t>
  </si>
  <si>
    <t>1) ค่าใช้จ่ายในการศึกพัฒนามาตรฐานศูนย์เด็กเล็กแห่งชาติ</t>
  </si>
  <si>
    <t>4. แผนงานยุทธศาสตร์ป้องกัน ปราบปราม และบำบัดรักษาผู้ติดยาเสพติด (บูรณาการ)</t>
  </si>
  <si>
    <t>โครงการ : เสริมสร้างภูมิคุ้มกันเด็กและเยาวชนจากยาเสพติด</t>
  </si>
  <si>
    <t>กิจกรรม :  การสร้างภูมิคุ้มกันภัยยาเสพติดสำหรับเด็กและเยาวชน</t>
  </si>
  <si>
    <t xml:space="preserve">ค่าตอบแทนเจ้าหน้าที่ทำงานนอกเวลาราชการ สำหรับข้าราชการและเจ้าหน้าที่ที่ปฏิบัติงานกรณีเร่งด่วน เช่น การจัดประชุม การจัดอบรมสัมนาและการช่วยเหลือกรณีเคสของบ้านพักเด็กและครอบครัว </t>
  </si>
  <si>
    <t>จัดอบรมให้ความรู้ผู้ปฏิบัติงานและเจ้าหน้าที่บ้านพักเด็กและครอบครัว ในการเสริมทักษะในการปฏิบัติงาน จำนวน 8 หลักสูตร 77 จังหวัด</t>
  </si>
  <si>
    <t>(8) ค่าใช้จ่ายในการประชุม</t>
  </si>
  <si>
    <t xml:space="preserve">เป็นค่าใช้จ่ายสำหรับการประชุมหรือการดำเนินงานตางๆ เกี่ยวกับการดำเนินงานของบ้านพักเด็กและครอบครัว 77 แห่ง และส่วนกลาง </t>
  </si>
  <si>
    <t>(9) ค่าใช้จ่ายในการส่งเสริมความรู้และฝึกอาชีพ</t>
  </si>
  <si>
    <t>เป็นค่าซ่อมแซมยานพาหนะและขนส่ง ซึ่งเป็นค่าซ่อมบำรุง ค่าวัสดุและค่าแรง ซึ่งใช้ในราชการของหน่วยงานบ้านพักเด็กและครอบครัว 77 แห่ง ๆ ละ 60,000 บาท</t>
  </si>
  <si>
    <t>ค่าซ่อมแซมครุภัณฑ์ที่ใช้ประจำสำนักงาน ครุภัณฑ์ฝึกอาชีพ และเครื่องใช้ไฟฟ้า เนื่องจากมีการใช้งานมานาน มีสภาพชำรุด จำนวน 77 แห่ง ๆ ละ 50,000 บาท</t>
  </si>
  <si>
    <t>ค่าจ้างเหมาบริการเพื่อปฏิบัติงานในบ้านพักเด็กและครอบครัว</t>
  </si>
  <si>
    <t xml:space="preserve"> - จ้างเหมาทำความสะอาด 77 แห่ง * 10,000 บาท * 12 เดือน</t>
  </si>
  <si>
    <t xml:space="preserve"> - จ้าพนักงานรักษาความปลอดภัย 77 แห่ง * 2 คน * 12 เดือน *10,000 บาท</t>
  </si>
  <si>
    <t xml:space="preserve"> - จ้างเจ้าหน้าที่ช่วยปฏิบัติงานเพื่อช่วยปฏิบัติงานในบ้านพักเด็กและครอบครัว เนื่องจากต้องปฏิบัติงานตลอด 24 ชั่วโมง ทำให้ไม่มีเจ้าหน้าที่ช่วยเหลือกรณีมีเหตุการณ์เร่งด่วน 2 คน* 12 เดือน * 10,000 บาท </t>
  </si>
  <si>
    <t xml:space="preserve"> - เจ้าหน้าที่ช่วยปฏิบัติงานส่วนกลางจำนวน 3 อัตรา</t>
  </si>
  <si>
    <t xml:space="preserve"> - เจ้าหน้าที่ที่ปฏิบัติงานบ้านพักเด็กและครอบครัว Call Center  24 ชั่วโมง  77 อัตรา</t>
  </si>
  <si>
    <t xml:space="preserve"> - เจ้าหน้าที่ที่ปฏิบัติงานบ้านพักเด็กและครอบครัว  จำนวน 154 อัตรา</t>
  </si>
  <si>
    <t xml:space="preserve"> - จ้างเหมาเจ้าหน้าที่ช่วยปฏิบัติงานส่วนกลาง เพื่อประสานงานกับหน่วยงานระดับพื้นที่ ตลอดจนจัดทำข้อมูลด้านงบประมาณ บุคลากร การติดตามผลการดำเนินงานของหน่วยงานในระดับพื้นที่ 3 คน *  15,000 คน * 12 เดือน</t>
  </si>
  <si>
    <t xml:space="preserve"> - จ้างเจ้าหน้าที่ช่วยปฏิบัติงาน Call Center เนื่องจาก บ้านพักเด็กและครอบครัวจะต้องปฏิบัติงานตลอด 24 ชั่วโมงทำให้ต้องจ้างพนักงานเพื่อประสานงานทางโทรศัพท์กรณีเกิดเหตุเร่งด่วน  1 คน* 12 เดือน * 12,000 บาท </t>
  </si>
  <si>
    <t xml:space="preserve"> - จ้างบุคคลภายนอกประเมินมาตรฐานการจัดสวัสดิการ บ้านพักเด็กและครอบครัว 40 แห่ง โดยผู้ประเมินอิสระ </t>
  </si>
  <si>
    <t>สนับสนุนงบประมาณให้ บพด. ในการจัดกิจกรรมส่งเสริมความรู้ กระบวนการคุ้มครอง พัฒนาศักยภาพ ผู้ประสบปัญหาทางสังคมทุกประเภท ทั้งทางร่างกาย จิตใจ สังคม เช่น การทำกิจกรรมบำบัด อาชีวะบำบัด ทักษะการอยู่ร่วมกับผู้อื่น 77 แห่ง</t>
  </si>
  <si>
    <t>ค่าซ่อมแซมสิ่งก่อสร้างที่ชำรุด ที่มีอายุการใช้งานเกิน 10 ปีขึ้นไป เช่น หลังคาชำรุด ฝ้า กระจก  ท่อระบายน้ำ เป็นต้น  77 แห่ง * 25,000 บาท</t>
  </si>
  <si>
    <t xml:space="preserve"> - ค่าเก็บขยะ 77 แห่ง * 500 บาท * 12 เดือน</t>
  </si>
  <si>
    <t xml:space="preserve"> - ค่ากำจัดปลวก 77 แห่ง * 20,000 บาท </t>
  </si>
  <si>
    <t xml:space="preserve"> - ค่าดูแลและจัดสวนหย่อม 77 แห่ง * 20,000 บาท</t>
  </si>
  <si>
    <t xml:space="preserve"> (10) ค่าธรรมเนียม</t>
  </si>
  <si>
    <t xml:space="preserve"> (11) ค่าใช้จ่ายในพิธีศาสนา</t>
  </si>
  <si>
    <t xml:space="preserve">ค่าใช้จ่ายในการจัดทำพิธีทางศาสนา 77 * 20,000 บาท </t>
  </si>
  <si>
    <t>ค่าธรรมเนียมทางด่วน สำหรับการเดินทางไปราชการกรณีเร่งด่วน 77 *2,000 บาท *12</t>
  </si>
  <si>
    <t xml:space="preserve"> - ค่าจัดทำสื่อประชาสัมพันธ์ด้านการป้องกันและแก้ไขปัญหาความรุนแรงและงานตามนโยบาย 77 แห่ง * 5,000 บาท</t>
  </si>
  <si>
    <t xml:space="preserve">ค่าวัสดุสำนักงานของ บพด. </t>
  </si>
  <si>
    <t>ค่าอุปกรณ์งานบ้าน และเครื่องใช้งานครัวของบ้านพักเด็กและครอบครัว  77 แห่ง * 52,000</t>
  </si>
  <si>
    <t>ค่าใช้จ่ายสำหรับผุ้รับบริการ/ผุ้รับการสงเคราะห์ เช่น เสื้อผ้า เครื่องนอน และของใช้ส่วนตัวที่จำเป็น 77 แห่ง * 30,000</t>
  </si>
  <si>
    <t xml:space="preserve">ค่าวัสดุอาหารสำหรับผุ้รับบริการของบ้านพักเด็กและครอบครัว 77 แห่ง * 90 บาท * 365 วัน* 20 คน </t>
  </si>
  <si>
    <t>ค่าวัสดุการเกษตรสำหรับใช้ในบ้านพักเด็กและครอบครัว  77 แห่ง * 10,000 บาท</t>
  </si>
  <si>
    <t>(9) ค่าวัสดุการเกษตร</t>
  </si>
  <si>
    <t>(10) ค่าวัสดุฝึกอาชีพ</t>
  </si>
  <si>
    <t>ค่าวัสดุการเกษตรสำหรับฝึกอาชีพสำหรับผุ้รับบริการในพักเด็กและครอบครัว  77 แห่ง * 10,000 บาท</t>
  </si>
  <si>
    <t>(11) ค่าวัสดุการศึกษา</t>
  </si>
  <si>
    <t>ค่าวัสดุการศึกษาสำหรับผู้รับการการในบ้านพักเด็กและครอบครัว</t>
  </si>
  <si>
    <t>ค่าวัสดุก่อสร้างในการปรับปรุงซ่อมแซมภายในอาคารของบ้านพักเด็กและครอบครัว 77 แห่ง * 15,000 บาท</t>
  </si>
  <si>
    <t xml:space="preserve">ค่าหนังสือ และเอกสาร สื่อสิ่งพิมพ์ กฎหมายและระเบียบ สำหรับเจ้าหน้าที่ที่ปฏิบัติงานในบ้านพักเด็กและครอบครัว/ สำหรับผู้รับบริการเพื่อให้สามารถรู้เท่าทันสถานการณ์ทางสังคม 77 * 30,000 </t>
  </si>
  <si>
    <t>ค่ายาสำหรับรักษาพยาบาลผุ้รับบริการเบื้องต้น 77 * 10,000 บาท</t>
  </si>
  <si>
    <t>ค่าน้ำมันเชื้อเพลิงและหล่อลื่น ใช้ในราชการ กรณีลงพืน้ที่ให้ความข่วยเหลือผุ้ประสบปัญหาทางสังคม การติดตามเยี่ยมบ้าน การป้องกันปัญหา  77 * 12,000 * 12 เดือน</t>
  </si>
  <si>
    <t>(12) ค่าวัสดุเครื่องแต่งกาย</t>
  </si>
  <si>
    <t>ค่าเสื้อผ้าสำหรับผู้รับบริการของ บ้านพักเด็กและครอบครัว 77 * 10 คน * 500 บาท * 12 เดือน</t>
  </si>
  <si>
    <t>(13) ค่าวัสดุเครื่องเล่นเด็ก</t>
  </si>
  <si>
    <t>ค่าวัสดุอุปกรณ์เครื่องเล่นเด็ก ที่รับบริการบ้านพักเด็กและครอบครัว 77 * 5,000 บาท</t>
  </si>
  <si>
    <t>(14) ค่าวัสดุดนตรี</t>
  </si>
  <si>
    <t xml:space="preserve">ค่าวัสดุสำหรับทำกิจกรรมกับผู้บรับบริการ เพื่อผ่อนคลายความเครียด ในบ้านพักเด็กและครอบครัว 77 *5,000 บาท </t>
  </si>
  <si>
    <t xml:space="preserve"> (15) ค่าวัสดุกีฬา</t>
  </si>
  <si>
    <t xml:space="preserve">ค่าวัสดุสำหรับทำกิจกรรมกับผู้บรับบริการ เพื่อผ่อนคลายความเครียด ในบ้านพักเด็กและครอบครัว 77 *10,000 บาท </t>
  </si>
  <si>
    <t>ค่าโทรศัพท์สำหรับติดต่อประสานงานของบ้านพักเด็กและครอบครัว 77 แห่ง * 3,000 * 12 เดือน</t>
  </si>
  <si>
    <t>ค่าน้ำประปา เพื่อใช้งานบ้านพักเด็กและครอบครัว 77 แห่ง * 4,000 บาท * 12 เดือน</t>
  </si>
  <si>
    <t>ค่าไปรษณีสำหรับส่งเอกสาร 77 * 4,000 บาท</t>
  </si>
  <si>
    <t>ค่าไฟฟ้าในบ้านพักเด็กและครอบครัว 77 * 164,000 บาท</t>
  </si>
  <si>
    <t xml:space="preserve">ค่าตอบแทนค่าเช่าบ้านสำหรับข้าราชการที่ยังไม่มีบ้านพักของบ้านพักเด็กและครอบครัว จำนวน 43 ราย </t>
  </si>
  <si>
    <t xml:space="preserve"> - ระดับชำนาญงาน = 3 * 3,000 * 12 = 108,000</t>
  </si>
  <si>
    <t xml:space="preserve"> - ระดับชำนาญการ = 30 * 3,500 * 12 = 1,260,000</t>
  </si>
  <si>
    <t xml:space="preserve"> - ระดับชำนาญการพิเศษ = 10 * 4,000 * 12 = 480,000</t>
  </si>
  <si>
    <t>ค่าเช่าอาคารสำนักงานของบ้านพักเด็กและครอบครัวจำนวน 34 แห่ง</t>
  </si>
  <si>
    <t>บ้านพักเด็ก</t>
  </si>
  <si>
    <t>สถานสงเคาะห์</t>
  </si>
  <si>
    <t>ดย.</t>
  </si>
  <si>
    <t>สถานสงเคระห์</t>
  </si>
  <si>
    <t xml:space="preserve"> - อัตรา 3,000 * 5 *12 = 180,000</t>
  </si>
  <si>
    <t xml:space="preserve"> - อัตรา 3,500 * 6 * 12 = 252,000</t>
  </si>
  <si>
    <t xml:space="preserve"> - อัตรา 4,000 *5 *12 = 240,000 บาท</t>
  </si>
  <si>
    <t xml:space="preserve"> เป็นค่าเช่าบ้านของข้าราชการที่ปฏิบัติงานในหน่วยงานที่มีบ้านพักอาศัยไม่เพียงพอ จำนวน 16 อัตรา</t>
  </si>
  <si>
    <t xml:space="preserve">ค่าใช้จ่ายสำหรับข้าราชการและเจ้าหน้าที่เดินทางไปราชการ เพื่อประสานงาน การช่วยเหลือผู้ประสบปัญหาทางสังคม การร่วมประชุมสัมนา และการติดต่อราชการอื่น </t>
  </si>
  <si>
    <t xml:space="preserve"> - การเดินทางไปราชการของ จนท.บ้านพักเด็กและครอบครัว 77 แห่ง  24,504,480</t>
  </si>
  <si>
    <t xml:space="preserve"> - การเดินทางไปราชการของส่วนกลาง  555,840</t>
  </si>
  <si>
    <t xml:space="preserve"> - การบริการช่วยเหลือสังคมของบ้านพักเด็กและครอบครัว 77 แห่ง 5,654,880</t>
  </si>
  <si>
    <t xml:space="preserve"> - การติดตามประเมินผลการดำเนินงาน  1,142,400 บาท</t>
  </si>
  <si>
    <t>(1) ครุภัณฑ์ที่ใช้ในบ้านพักเด็กและครอบครัว 254 รายการ</t>
  </si>
  <si>
    <t>(1) ก่อสร้างอาคารบ้านพักและอาคารสำนักงานฯ</t>
  </si>
  <si>
    <t>(1) ค่าตอบแทนผู้ปฏิบัติงานในพื้นที่พิเศษ</t>
  </si>
  <si>
    <t>ค่าตอบแทนพิเศษสำหรับบุคลากรที่ปฏิบัติงานในจังหวัดชายแดนภาคใต้</t>
  </si>
  <si>
    <t>(5) ค่าใช้จ่ายสำหรับการพัฒนาระบบสนสนเทศของ ดย.</t>
  </si>
  <si>
    <t xml:space="preserve">เป็นค่าใข้จ่ายในการพัฒนาระบบสารสนเทศของดย. </t>
  </si>
  <si>
    <t>(6) ค่าใช้จ่ายในการจัดกิจกรรมการงานด้านขับเคลื่อนด้านการส่งเสริมและคุ้มครองเด็ก</t>
  </si>
  <si>
    <t>ค่าบริการสื่อสารโทรคมนาคมทั้งส่วนกลาง และส่วนภูมิภาค</t>
  </si>
  <si>
    <t xml:space="preserve"> - ค่าบริการสื่อสารโทรคมนาคมทั้งส่วนกลาง ที่มี 3 ที่ทำการ คือ มักกะสัน ดึกดรุณวิถี และกรมกิจการคนพิการ 5,000,000 บาท</t>
  </si>
  <si>
    <t xml:space="preserve"> - บ้านพักเด็กและครอบครัว 77 จ้งหวัดๆ ละ 1,500 บาท = 1,386,000</t>
  </si>
  <si>
    <t xml:space="preserve"> - สถานสงเคราะห์ 30 แห่ง ๆ ละ 2,500 บาท 900,000 บาท</t>
  </si>
  <si>
    <t xml:space="preserve"> - เจ้าเหมา จนท. ช่วยปฏิบัติงานด้านเทคโนโลยีสารสนเทศ จำนวน 2 อัตรา</t>
  </si>
  <si>
    <t>บำรุงรักษาระบบ ระบบสารสนเทศและเครื่องคอมฯ</t>
  </si>
  <si>
    <t xml:space="preserve"> - ระบบสารสนเทศ ดย. 3,430,000</t>
  </si>
  <si>
    <t xml:space="preserve"> - ระบบคอมพิวเตอร์ 8,562,000</t>
  </si>
  <si>
    <t>(7) ค่าใช้จ่ายในดำเนินงานด้านเทคโนโลยี</t>
  </si>
  <si>
    <t>ค่าใช้จ่ายในการบริหารด้านเทคโนโลยีสารสนเทศของดย.</t>
  </si>
  <si>
    <t>(1) ค่าใช้จ่ายโครงการศูนย์ปฏิบัติการด้านเด็กและเยาวชน (DCYOC)</t>
  </si>
  <si>
    <t xml:space="preserve"> (2) โครงการเพิ่มประสิทธิภพาระบบเครือข่ายภายในของกรมกิจการเด็กและเยาวชน</t>
  </si>
  <si>
    <t xml:space="preserve"> (3) ครุภัณฑ์คอมพิวเตอร์ เพิ่มประสิทธิภาพ</t>
  </si>
  <si>
    <t xml:space="preserve"> (4) ครุภัณฑ์คอมพิวเตอร์ ทดแทนที่มีอายุเกิน 7 ปี</t>
  </si>
  <si>
    <t>(6) ค่าใช้จ่ายในการจัดกิจกรรมเสริมสร้างทักษะเด็กและเยาวชน</t>
  </si>
  <si>
    <t xml:space="preserve">งบบุคลกรเพิ่มเนื่องจากปรับตามหลักเกณฑ์ที่สำนักงบประมาณกำหนด นอกจากนี้ ข้าราชการของ ดย. เกษียณ่จำนวน 21 อัตรา และได้ตั้งทดแทนผู้เกษียณตามฐานเงินเดือนขั้นต่ำทุกตำแหน่ง/ ลูกจ้างประจำ ของดย. ปี 2559 ได้เกษียณ 25 อัตราและลาออก 1 อัตรา / กรอบพนักงานราชการของ ได้ตั้งทดแทน จำนวน 24 อัตรา และ 2 อัตราไม่ได้ทดแทนเนื่องจากเป็นพนักงานขับรถ </t>
  </si>
  <si>
    <t>ค่าเช่าบ้านลดลงเนื่องจากบุคลกร ได้โยกย้ายตาม พรบ.ปรับปรุงกระทรวง ทบวง กรม พ.ศ. 2558 ของ กระทรวง พม.</t>
  </si>
  <si>
    <t xml:space="preserve"> - ปี 2560 มีข้าราชการได้รับค่าเช่าบ้าน จำนวน 17 อัตรา ประกอบด้วย 4,000 x 12 เดือน x 15 คน/ 3,300 x 12 เดือน x 1 คน/ 2,200 x 12 เดือน x 1 คน</t>
  </si>
  <si>
    <t>ค่าตอบแทนผู้ปฏิบัติงานให้ราชกาช ลดลงเนื่องจากมีการปรับภารกิจและกระบวนการทำให้สอดคล้องกับสภาพสังคมปัจจุบัน ทำให้ลดค่าใช้จ่ายลด และได้ตั้งค่าใช้จ่ายเฉพาะในภารกิจที่จำเป็น เช่น</t>
  </si>
  <si>
    <t>ค่าเบี้ยกรรมการลดลงเนื่องจากได้มีลดขั้นตอนในการทำงาน และปรับลดคณะกรรมการต่างๆ มีการบูรณาการทำงานเพิ่มขึ้นทำให้ค่าเบี้ยประชุมคณะกรรมการลดลง ในปี2560 ได้ตั้งค่าเบี้ยประชุมคณะกรรมการ 5 คณะ ดังนี้</t>
  </si>
  <si>
    <t xml:space="preserve"> - ผู้ปฏิบัติงานด้านการสงเคราะห์เด็กติดเชื้อเอดส์ 20 อัตรา</t>
  </si>
  <si>
    <t>เดินทางไปราชการต่างประเทศ ตามกรอบความร่วมมือระหว่างประเทศ</t>
  </si>
  <si>
    <t>-</t>
  </si>
  <si>
    <t>กองทุนคุ้มครองเด็ก</t>
  </si>
  <si>
    <t>ผลผลิต/โครงการ :กองทุนคุ้มครองเด็ก</t>
  </si>
  <si>
    <t>1. กิจกรรม : การสงเคราะห็และคุ้มครองสวัสดิภาพ ครอบครัวและครอบครัวอุปถัมภ์</t>
  </si>
  <si>
    <t xml:space="preserve"> งบรายจ่ายอื่น</t>
  </si>
  <si>
    <t>2. กิจกรรม :  การสนับสนุนโครงการที่ปฏิบัติงานด้านเด็กแก่หน่วยงานภาครัฐและองค์กรภาคเอกชน</t>
  </si>
  <si>
    <t>1. หน่วยงาน : กรมกิจการเด็กและเยาวชน</t>
  </si>
  <si>
    <t>2. หน่วยงาน กองทุนคุ้มครองเด็ก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</si>
</sst>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#,##0.0000"/>
    <numFmt numFmtId="188" formatCode="_-* #,##0_-;\-* #,##0_-;_-* &quot;-&quot;??_-;_-@_-"/>
    <numFmt numFmtId="189" formatCode="_-* #,##0.0000_-;\-* #,##0.0000_-;_-* &quot;-&quot;??_-;_-@_-"/>
    <numFmt numFmtId="190" formatCode="_(* #,##0_);_(* \(#,##0\);_(* &quot;-&quot;??_);_(@_)"/>
    <numFmt numFmtId="191" formatCode="_-* #,##0.00000_-;\-* #,##0.00000_-;_-* &quot;-&quot;??_-;_-@_-"/>
    <numFmt numFmtId="192" formatCode="_-* #,##0.000000_-;\-* #,##0.000000_-;_-* &quot;-&quot;??_-;_-@_-"/>
    <numFmt numFmtId="193" formatCode="#,##0.000000000000000"/>
  </numFmts>
  <fonts count="3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25"/>
      <name val="TH SarabunPSK"/>
      <family val="2"/>
    </font>
    <font>
      <sz val="10"/>
      <name val="Arial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u/>
      <sz val="14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C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rgb="FFFF0000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indexed="10"/>
      <name val="TH SarabunPSK"/>
      <family val="2"/>
    </font>
    <font>
      <u/>
      <sz val="15"/>
      <name val="TH SarabunPSK"/>
      <family val="2"/>
    </font>
    <font>
      <b/>
      <sz val="15"/>
      <color theme="1"/>
      <name val="TH SarabunPSK"/>
      <family val="2"/>
    </font>
    <font>
      <sz val="16"/>
      <name val="TH SarabunPSK"/>
      <family val="2"/>
    </font>
    <font>
      <b/>
      <sz val="14"/>
      <color rgb="FFFF0000"/>
      <name val="TH SarabunPSK"/>
      <family val="2"/>
    </font>
    <font>
      <sz val="14"/>
      <color rgb="FFC00000"/>
      <name val="TH SarabunPSK"/>
      <family val="2"/>
    </font>
    <font>
      <sz val="18"/>
      <color theme="1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7">
    <xf numFmtId="0" fontId="0" fillId="0" borderId="0"/>
    <xf numFmtId="0" fontId="4" fillId="0" borderId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402">
    <xf numFmtId="0" fontId="0" fillId="0" borderId="0" xfId="0"/>
    <xf numFmtId="0" fontId="1" fillId="0" borderId="0" xfId="0" applyFont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5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center" vertical="center"/>
    </xf>
    <xf numFmtId="187" fontId="2" fillId="0" borderId="7" xfId="0" applyNumberFormat="1" applyFont="1" applyBorder="1" applyAlignment="1">
      <alignment horizontal="center" vertical="center"/>
    </xf>
    <xf numFmtId="187" fontId="1" fillId="3" borderId="8" xfId="0" applyNumberFormat="1" applyFont="1" applyFill="1" applyBorder="1" applyAlignment="1">
      <alignment horizontal="center" vertical="center"/>
    </xf>
    <xf numFmtId="187" fontId="1" fillId="0" borderId="8" xfId="0" applyNumberFormat="1" applyFont="1" applyBorder="1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vertical="top"/>
    </xf>
    <xf numFmtId="0" fontId="1" fillId="0" borderId="6" xfId="0" applyFont="1" applyBorder="1" applyAlignment="1">
      <alignment vertical="top" wrapText="1"/>
    </xf>
    <xf numFmtId="3" fontId="1" fillId="0" borderId="0" xfId="0" applyNumberFormat="1" applyFont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1" fillId="3" borderId="8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1" fillId="3" borderId="9" xfId="0" applyNumberFormat="1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14" fillId="0" borderId="13" xfId="0" applyFont="1" applyBorder="1" applyAlignment="1">
      <alignment horizontal="center"/>
    </xf>
    <xf numFmtId="3" fontId="14" fillId="0" borderId="13" xfId="0" applyNumberFormat="1" applyFont="1" applyBorder="1"/>
    <xf numFmtId="3" fontId="16" fillId="0" borderId="0" xfId="0" applyNumberFormat="1" applyFont="1"/>
    <xf numFmtId="0" fontId="14" fillId="0" borderId="13" xfId="0" applyFont="1" applyBorder="1" applyAlignment="1">
      <alignment horizontal="center" vertical="center"/>
    </xf>
    <xf numFmtId="3" fontId="14" fillId="0" borderId="13" xfId="0" applyNumberFormat="1" applyFont="1" applyBorder="1" applyAlignment="1">
      <alignment horizontal="center" vertical="center"/>
    </xf>
    <xf numFmtId="3" fontId="14" fillId="0" borderId="13" xfId="0" applyNumberFormat="1" applyFont="1" applyBorder="1" applyAlignment="1">
      <alignment vertical="center"/>
    </xf>
    <xf numFmtId="0" fontId="16" fillId="0" borderId="18" xfId="0" applyFont="1" applyBorder="1" applyAlignment="1"/>
    <xf numFmtId="3" fontId="16" fillId="0" borderId="18" xfId="0" applyNumberFormat="1" applyFont="1" applyBorder="1" applyAlignment="1"/>
    <xf numFmtId="0" fontId="16" fillId="0" borderId="18" xfId="0" applyFont="1" applyBorder="1"/>
    <xf numFmtId="3" fontId="16" fillId="0" borderId="18" xfId="0" applyNumberFormat="1" applyFont="1" applyBorder="1"/>
    <xf numFmtId="0" fontId="16" fillId="0" borderId="18" xfId="0" applyFont="1" applyBorder="1" applyAlignment="1">
      <alignment horizontal="center"/>
    </xf>
    <xf numFmtId="3" fontId="16" fillId="0" borderId="18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3" fontId="16" fillId="0" borderId="22" xfId="0" applyNumberFormat="1" applyFont="1" applyBorder="1"/>
    <xf numFmtId="0" fontId="16" fillId="0" borderId="4" xfId="0" applyFont="1" applyBorder="1"/>
    <xf numFmtId="0" fontId="16" fillId="0" borderId="2" xfId="0" applyFont="1" applyBorder="1"/>
    <xf numFmtId="3" fontId="16" fillId="0" borderId="2" xfId="0" applyNumberFormat="1" applyFont="1" applyBorder="1"/>
    <xf numFmtId="3" fontId="16" fillId="0" borderId="3" xfId="0" applyNumberFormat="1" applyFont="1" applyBorder="1"/>
    <xf numFmtId="3" fontId="14" fillId="0" borderId="18" xfId="0" applyNumberFormat="1" applyFont="1" applyBorder="1"/>
    <xf numFmtId="3" fontId="14" fillId="0" borderId="22" xfId="0" applyNumberFormat="1" applyFont="1" applyBorder="1"/>
    <xf numFmtId="3" fontId="14" fillId="0" borderId="8" xfId="0" applyNumberFormat="1" applyFont="1" applyBorder="1"/>
    <xf numFmtId="0" fontId="16" fillId="12" borderId="0" xfId="0" applyFont="1" applyFill="1"/>
    <xf numFmtId="0" fontId="15" fillId="12" borderId="0" xfId="0" applyFont="1" applyFill="1"/>
    <xf numFmtId="0" fontId="16" fillId="0" borderId="22" xfId="0" applyFont="1" applyBorder="1"/>
    <xf numFmtId="0" fontId="15" fillId="0" borderId="0" xfId="0" applyFont="1" applyAlignment="1">
      <alignment horizontal="center" vertical="center"/>
    </xf>
    <xf numFmtId="188" fontId="15" fillId="0" borderId="0" xfId="2" applyNumberFormat="1" applyFont="1"/>
    <xf numFmtId="188" fontId="19" fillId="0" borderId="0" xfId="2" applyNumberFormat="1" applyFont="1"/>
    <xf numFmtId="188" fontId="15" fillId="0" borderId="0" xfId="0" applyNumberFormat="1" applyFont="1"/>
    <xf numFmtId="43" fontId="1" fillId="0" borderId="0" xfId="2" applyFont="1" applyAlignment="1">
      <alignment vertical="top"/>
    </xf>
    <xf numFmtId="188" fontId="1" fillId="0" borderId="0" xfId="2" applyNumberFormat="1" applyFont="1" applyAlignment="1">
      <alignment vertical="top"/>
    </xf>
    <xf numFmtId="3" fontId="23" fillId="0" borderId="5" xfId="3" applyNumberFormat="1" applyFont="1" applyFill="1" applyBorder="1" applyAlignment="1">
      <alignment horizontal="left" shrinkToFit="1"/>
    </xf>
    <xf numFmtId="3" fontId="24" fillId="0" borderId="5" xfId="3" applyNumberFormat="1" applyFont="1" applyFill="1" applyBorder="1" applyAlignment="1">
      <alignment horizontal="right" shrinkToFit="1"/>
    </xf>
    <xf numFmtId="3" fontId="24" fillId="0" borderId="5" xfId="3" applyNumberFormat="1" applyFont="1" applyFill="1" applyBorder="1" applyAlignment="1">
      <alignment shrinkToFit="1"/>
    </xf>
    <xf numFmtId="3" fontId="23" fillId="0" borderId="5" xfId="3" applyNumberFormat="1" applyFont="1" applyFill="1" applyBorder="1" applyAlignment="1">
      <alignment shrinkToFit="1"/>
    </xf>
    <xf numFmtId="0" fontId="25" fillId="0" borderId="5" xfId="0" applyFont="1" applyFill="1" applyBorder="1" applyAlignment="1">
      <alignment vertical="center"/>
    </xf>
    <xf numFmtId="3" fontId="23" fillId="0" borderId="5" xfId="3" applyNumberFormat="1" applyFont="1" applyFill="1" applyBorder="1" applyAlignment="1">
      <alignment horizontal="right" shrinkToFit="1"/>
    </xf>
    <xf numFmtId="3" fontId="26" fillId="0" borderId="5" xfId="3" applyNumberFormat="1" applyFont="1" applyFill="1" applyBorder="1" applyAlignment="1">
      <alignment shrinkToFit="1"/>
    </xf>
    <xf numFmtId="0" fontId="25" fillId="0" borderId="0" xfId="0" applyFont="1" applyFill="1" applyAlignment="1">
      <alignment vertical="center"/>
    </xf>
    <xf numFmtId="0" fontId="24" fillId="0" borderId="0" xfId="4" applyFont="1" applyFill="1" applyAlignment="1">
      <alignment vertical="center"/>
    </xf>
    <xf numFmtId="0" fontId="25" fillId="0" borderId="7" xfId="0" applyFont="1" applyFill="1" applyBorder="1" applyAlignment="1">
      <alignment vertical="center"/>
    </xf>
    <xf numFmtId="3" fontId="26" fillId="0" borderId="7" xfId="3" applyNumberFormat="1" applyFont="1" applyFill="1" applyBorder="1" applyAlignment="1">
      <alignment shrinkToFit="1"/>
    </xf>
    <xf numFmtId="0" fontId="28" fillId="0" borderId="13" xfId="0" applyFont="1" applyFill="1" applyBorder="1" applyAlignment="1">
      <alignment horizontal="center" vertical="center"/>
    </xf>
    <xf numFmtId="3" fontId="28" fillId="0" borderId="13" xfId="0" applyNumberFormat="1" applyFont="1" applyFill="1" applyBorder="1" applyAlignment="1">
      <alignment horizontal="center" vertical="center"/>
    </xf>
    <xf numFmtId="3" fontId="24" fillId="0" borderId="13" xfId="3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vertical="top"/>
    </xf>
    <xf numFmtId="188" fontId="1" fillId="0" borderId="0" xfId="2" applyNumberFormat="1" applyFont="1" applyBorder="1" applyAlignment="1">
      <alignment vertical="top"/>
    </xf>
    <xf numFmtId="0" fontId="25" fillId="0" borderId="0" xfId="0" applyFont="1" applyFill="1" applyBorder="1" applyAlignment="1">
      <alignment vertical="center"/>
    </xf>
    <xf numFmtId="191" fontId="1" fillId="0" borderId="0" xfId="2" applyNumberFormat="1" applyFont="1" applyAlignment="1">
      <alignment horizontal="center" vertical="center"/>
    </xf>
    <xf numFmtId="188" fontId="20" fillId="0" borderId="0" xfId="2" applyNumberFormat="1" applyFont="1" applyAlignment="1">
      <alignment vertical="top"/>
    </xf>
    <xf numFmtId="191" fontId="1" fillId="0" borderId="0" xfId="2" applyNumberFormat="1" applyFont="1" applyAlignment="1">
      <alignment vertical="top"/>
    </xf>
    <xf numFmtId="0" fontId="14" fillId="12" borderId="0" xfId="0" applyFont="1" applyFill="1"/>
    <xf numFmtId="188" fontId="31" fillId="0" borderId="0" xfId="2" applyNumberFormat="1" applyFont="1" applyAlignment="1">
      <alignment vertical="top"/>
    </xf>
    <xf numFmtId="189" fontId="1" fillId="9" borderId="6" xfId="0" applyNumberFormat="1" applyFont="1" applyFill="1" applyBorder="1" applyAlignment="1">
      <alignment vertical="top"/>
    </xf>
    <xf numFmtId="189" fontId="1" fillId="0" borderId="0" xfId="2" applyNumberFormat="1" applyFont="1" applyAlignment="1">
      <alignment vertical="top"/>
    </xf>
    <xf numFmtId="188" fontId="1" fillId="0" borderId="0" xfId="0" applyNumberFormat="1" applyFont="1" applyAlignment="1">
      <alignment vertical="top"/>
    </xf>
    <xf numFmtId="0" fontId="1" fillId="0" borderId="0" xfId="0" applyFont="1" applyBorder="1" applyAlignment="1">
      <alignment vertical="top" wrapText="1"/>
    </xf>
    <xf numFmtId="187" fontId="1" fillId="0" borderId="0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0" applyFont="1"/>
    <xf numFmtId="188" fontId="19" fillId="0" borderId="0" xfId="0" applyNumberFormat="1" applyFont="1"/>
    <xf numFmtId="3" fontId="29" fillId="0" borderId="5" xfId="3" applyNumberFormat="1" applyFont="1" applyFill="1" applyBorder="1" applyAlignment="1"/>
    <xf numFmtId="3" fontId="15" fillId="0" borderId="0" xfId="0" applyNumberFormat="1" applyFont="1"/>
    <xf numFmtId="188" fontId="1" fillId="12" borderId="0" xfId="2" applyNumberFormat="1" applyFont="1" applyFill="1" applyAlignment="1">
      <alignment vertical="top"/>
    </xf>
    <xf numFmtId="189" fontId="1" fillId="0" borderId="0" xfId="0" applyNumberFormat="1" applyFont="1" applyAlignment="1">
      <alignment horizontal="center" vertical="center"/>
    </xf>
    <xf numFmtId="189" fontId="2" fillId="0" borderId="11" xfId="0" applyNumberFormat="1" applyFont="1" applyBorder="1" applyAlignment="1">
      <alignment horizontal="center" vertical="top"/>
    </xf>
    <xf numFmtId="189" fontId="2" fillId="0" borderId="12" xfId="0" applyNumberFormat="1" applyFont="1" applyBorder="1" applyAlignment="1">
      <alignment horizontal="center" vertical="center"/>
    </xf>
    <xf numFmtId="189" fontId="1" fillId="0" borderId="16" xfId="0" applyNumberFormat="1" applyFont="1" applyBorder="1" applyAlignment="1">
      <alignment horizontal="center" vertical="center"/>
    </xf>
    <xf numFmtId="189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vertical="top"/>
    </xf>
    <xf numFmtId="4" fontId="2" fillId="0" borderId="11" xfId="0" applyNumberFormat="1" applyFont="1" applyBorder="1" applyAlignment="1">
      <alignment horizontal="center" vertical="top"/>
    </xf>
    <xf numFmtId="4" fontId="2" fillId="0" borderId="12" xfId="0" applyNumberFormat="1" applyFont="1" applyBorder="1" applyAlignment="1">
      <alignment horizontal="center" vertical="top"/>
    </xf>
    <xf numFmtId="4" fontId="1" fillId="0" borderId="16" xfId="0" applyNumberFormat="1" applyFont="1" applyBorder="1" applyAlignment="1">
      <alignment horizontal="center" vertical="top"/>
    </xf>
    <xf numFmtId="188" fontId="1" fillId="0" borderId="0" xfId="2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2" fillId="0" borderId="10" xfId="0" applyFont="1" applyBorder="1" applyAlignment="1">
      <alignment horizontal="center" vertical="top" wrapText="1"/>
    </xf>
    <xf numFmtId="187" fontId="1" fillId="3" borderId="1" xfId="0" applyNumberFormat="1" applyFont="1" applyFill="1" applyBorder="1" applyAlignment="1">
      <alignment horizontal="center" vertical="center"/>
    </xf>
    <xf numFmtId="3" fontId="1" fillId="3" borderId="14" xfId="0" applyNumberFormat="1" applyFont="1" applyFill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89" fontId="1" fillId="0" borderId="11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top"/>
    </xf>
    <xf numFmtId="0" fontId="2" fillId="6" borderId="17" xfId="0" applyFont="1" applyFill="1" applyBorder="1" applyAlignment="1">
      <alignment vertical="top" wrapText="1"/>
    </xf>
    <xf numFmtId="187" fontId="1" fillId="6" borderId="17" xfId="0" applyNumberFormat="1" applyFont="1" applyFill="1" applyBorder="1" applyAlignment="1">
      <alignment horizontal="center" vertical="center"/>
    </xf>
    <xf numFmtId="3" fontId="1" fillId="6" borderId="17" xfId="0" applyNumberFormat="1" applyFont="1" applyFill="1" applyBorder="1" applyAlignment="1">
      <alignment horizontal="center" vertical="center"/>
    </xf>
    <xf numFmtId="189" fontId="1" fillId="6" borderId="17" xfId="0" applyNumberFormat="1" applyFont="1" applyFill="1" applyBorder="1" applyAlignment="1">
      <alignment horizontal="center" vertical="center"/>
    </xf>
    <xf numFmtId="43" fontId="1" fillId="6" borderId="17" xfId="0" applyNumberFormat="1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vertical="top"/>
    </xf>
    <xf numFmtId="0" fontId="2" fillId="9" borderId="18" xfId="0" applyFont="1" applyFill="1" applyBorder="1" applyAlignment="1">
      <alignment vertical="top" wrapText="1"/>
    </xf>
    <xf numFmtId="187" fontId="1" fillId="9" borderId="18" xfId="0" applyNumberFormat="1" applyFont="1" applyFill="1" applyBorder="1" applyAlignment="1">
      <alignment horizontal="center" vertical="center"/>
    </xf>
    <xf numFmtId="3" fontId="1" fillId="9" borderId="18" xfId="0" applyNumberFormat="1" applyFont="1" applyFill="1" applyBorder="1" applyAlignment="1">
      <alignment horizontal="center" vertical="center"/>
    </xf>
    <xf numFmtId="189" fontId="1" fillId="9" borderId="18" xfId="0" applyNumberFormat="1" applyFont="1" applyFill="1" applyBorder="1" applyAlignment="1">
      <alignment horizontal="center" vertical="center"/>
    </xf>
    <xf numFmtId="43" fontId="1" fillId="9" borderId="18" xfId="0" applyNumberFormat="1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vertical="top"/>
    </xf>
    <xf numFmtId="0" fontId="2" fillId="17" borderId="18" xfId="0" applyFont="1" applyFill="1" applyBorder="1" applyAlignment="1">
      <alignment vertical="top" wrapText="1"/>
    </xf>
    <xf numFmtId="187" fontId="1" fillId="17" borderId="18" xfId="0" applyNumberFormat="1" applyFont="1" applyFill="1" applyBorder="1" applyAlignment="1">
      <alignment horizontal="center" vertical="center"/>
    </xf>
    <xf numFmtId="3" fontId="1" fillId="17" borderId="18" xfId="0" applyNumberFormat="1" applyFont="1" applyFill="1" applyBorder="1" applyAlignment="1">
      <alignment horizontal="center" vertical="center"/>
    </xf>
    <xf numFmtId="189" fontId="1" fillId="17" borderId="18" xfId="0" applyNumberFormat="1" applyFont="1" applyFill="1" applyBorder="1" applyAlignment="1">
      <alignment horizontal="center" vertical="center"/>
    </xf>
    <xf numFmtId="43" fontId="1" fillId="17" borderId="18" xfId="0" applyNumberFormat="1" applyFont="1" applyFill="1" applyBorder="1" applyAlignment="1">
      <alignment horizontal="center" vertical="center"/>
    </xf>
    <xf numFmtId="0" fontId="1" fillId="17" borderId="18" xfId="0" applyFont="1" applyFill="1" applyBorder="1" applyAlignment="1">
      <alignment vertical="top"/>
    </xf>
    <xf numFmtId="0" fontId="2" fillId="8" borderId="18" xfId="0" applyFont="1" applyFill="1" applyBorder="1" applyAlignment="1">
      <alignment vertical="top" wrapText="1"/>
    </xf>
    <xf numFmtId="187" fontId="1" fillId="8" borderId="18" xfId="0" applyNumberFormat="1" applyFont="1" applyFill="1" applyBorder="1" applyAlignment="1">
      <alignment horizontal="center" vertical="center"/>
    </xf>
    <xf numFmtId="3" fontId="1" fillId="8" borderId="18" xfId="0" applyNumberFormat="1" applyFont="1" applyFill="1" applyBorder="1" applyAlignment="1">
      <alignment horizontal="center" vertical="center"/>
    </xf>
    <xf numFmtId="189" fontId="1" fillId="8" borderId="18" xfId="0" applyNumberFormat="1" applyFont="1" applyFill="1" applyBorder="1" applyAlignment="1">
      <alignment horizontal="center" vertical="center"/>
    </xf>
    <xf numFmtId="43" fontId="1" fillId="8" borderId="18" xfId="0" applyNumberFormat="1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vertical="top"/>
    </xf>
    <xf numFmtId="0" fontId="1" fillId="0" borderId="18" xfId="0" applyFont="1" applyFill="1" applyBorder="1" applyAlignment="1">
      <alignment horizontal="left" vertical="top" wrapText="1" indent="2"/>
    </xf>
    <xf numFmtId="187" fontId="1" fillId="0" borderId="18" xfId="0" applyNumberFormat="1" applyFont="1" applyFill="1" applyBorder="1" applyAlignment="1">
      <alignment horizontal="center" vertical="center"/>
    </xf>
    <xf numFmtId="3" fontId="1" fillId="0" borderId="18" xfId="0" applyNumberFormat="1" applyFont="1" applyFill="1" applyBorder="1" applyAlignment="1">
      <alignment horizontal="center" vertical="center"/>
    </xf>
    <xf numFmtId="189" fontId="1" fillId="0" borderId="18" xfId="0" applyNumberFormat="1" applyFont="1" applyFill="1" applyBorder="1" applyAlignment="1">
      <alignment horizontal="center" vertical="center"/>
    </xf>
    <xf numFmtId="43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top"/>
    </xf>
    <xf numFmtId="0" fontId="2" fillId="10" borderId="18" xfId="0" applyFont="1" applyFill="1" applyBorder="1" applyAlignment="1">
      <alignment vertical="top" wrapText="1"/>
    </xf>
    <xf numFmtId="187" fontId="1" fillId="10" borderId="18" xfId="0" applyNumberFormat="1" applyFont="1" applyFill="1" applyBorder="1" applyAlignment="1">
      <alignment horizontal="center" vertical="center"/>
    </xf>
    <xf numFmtId="3" fontId="1" fillId="10" borderId="18" xfId="0" applyNumberFormat="1" applyFont="1" applyFill="1" applyBorder="1" applyAlignment="1">
      <alignment horizontal="center" vertical="center"/>
    </xf>
    <xf numFmtId="189" fontId="1" fillId="10" borderId="18" xfId="0" applyNumberFormat="1" applyFont="1" applyFill="1" applyBorder="1" applyAlignment="1">
      <alignment horizontal="center" vertical="center"/>
    </xf>
    <xf numFmtId="43" fontId="1" fillId="10" borderId="18" xfId="0" applyNumberFormat="1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vertical="top"/>
    </xf>
    <xf numFmtId="0" fontId="2" fillId="13" borderId="18" xfId="0" applyFont="1" applyFill="1" applyBorder="1" applyAlignment="1">
      <alignment vertical="top" wrapText="1"/>
    </xf>
    <xf numFmtId="187" fontId="1" fillId="13" borderId="18" xfId="0" applyNumberFormat="1" applyFont="1" applyFill="1" applyBorder="1" applyAlignment="1">
      <alignment horizontal="center" vertical="center"/>
    </xf>
    <xf numFmtId="3" fontId="1" fillId="13" borderId="18" xfId="0" applyNumberFormat="1" applyFont="1" applyFill="1" applyBorder="1" applyAlignment="1">
      <alignment horizontal="center" vertical="center"/>
    </xf>
    <xf numFmtId="189" fontId="1" fillId="13" borderId="18" xfId="0" applyNumberFormat="1" applyFont="1" applyFill="1" applyBorder="1" applyAlignment="1">
      <alignment horizontal="center" vertical="center"/>
    </xf>
    <xf numFmtId="43" fontId="1" fillId="13" borderId="18" xfId="0" applyNumberFormat="1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vertical="top"/>
    </xf>
    <xf numFmtId="0" fontId="2" fillId="14" borderId="18" xfId="0" applyFont="1" applyFill="1" applyBorder="1" applyAlignment="1">
      <alignment vertical="top" wrapText="1"/>
    </xf>
    <xf numFmtId="187" fontId="1" fillId="14" borderId="18" xfId="0" applyNumberFormat="1" applyFont="1" applyFill="1" applyBorder="1" applyAlignment="1">
      <alignment horizontal="center" vertical="center"/>
    </xf>
    <xf numFmtId="3" fontId="1" fillId="14" borderId="18" xfId="0" applyNumberFormat="1" applyFont="1" applyFill="1" applyBorder="1" applyAlignment="1">
      <alignment horizontal="center" vertical="center"/>
    </xf>
    <xf numFmtId="189" fontId="1" fillId="14" borderId="18" xfId="0" applyNumberFormat="1" applyFont="1" applyFill="1" applyBorder="1" applyAlignment="1">
      <alignment horizontal="center" vertical="center"/>
    </xf>
    <xf numFmtId="43" fontId="1" fillId="14" borderId="18" xfId="0" applyNumberFormat="1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vertical="top"/>
    </xf>
    <xf numFmtId="0" fontId="1" fillId="6" borderId="18" xfId="0" applyFont="1" applyFill="1" applyBorder="1" applyAlignment="1">
      <alignment vertical="top" wrapText="1"/>
    </xf>
    <xf numFmtId="187" fontId="1" fillId="6" borderId="18" xfId="0" applyNumberFormat="1" applyFont="1" applyFill="1" applyBorder="1" applyAlignment="1">
      <alignment horizontal="center" vertical="center"/>
    </xf>
    <xf numFmtId="3" fontId="1" fillId="6" borderId="18" xfId="0" applyNumberFormat="1" applyFont="1" applyFill="1" applyBorder="1" applyAlignment="1">
      <alignment horizontal="center" vertical="center"/>
    </xf>
    <xf numFmtId="189" fontId="1" fillId="6" borderId="18" xfId="0" applyNumberFormat="1" applyFont="1" applyFill="1" applyBorder="1" applyAlignment="1">
      <alignment horizontal="center" vertical="center"/>
    </xf>
    <xf numFmtId="43" fontId="1" fillId="6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vertical="top" wrapText="1"/>
    </xf>
    <xf numFmtId="187" fontId="1" fillId="0" borderId="18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top"/>
    </xf>
    <xf numFmtId="0" fontId="1" fillId="0" borderId="18" xfId="0" applyFont="1" applyBorder="1" applyAlignment="1">
      <alignment horizontal="left" vertical="top" wrapText="1" indent="1"/>
    </xf>
    <xf numFmtId="187" fontId="1" fillId="4" borderId="18" xfId="0" applyNumberFormat="1" applyFont="1" applyFill="1" applyBorder="1" applyAlignment="1">
      <alignment horizontal="center" vertical="center"/>
    </xf>
    <xf numFmtId="3" fontId="1" fillId="4" borderId="18" xfId="0" applyNumberFormat="1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vertical="top" wrapText="1"/>
    </xf>
    <xf numFmtId="0" fontId="1" fillId="0" borderId="18" xfId="0" applyFont="1" applyFill="1" applyBorder="1" applyAlignment="1">
      <alignment vertical="top" wrapText="1"/>
    </xf>
    <xf numFmtId="0" fontId="1" fillId="12" borderId="18" xfId="0" applyFont="1" applyFill="1" applyBorder="1" applyAlignment="1">
      <alignment vertical="top"/>
    </xf>
    <xf numFmtId="0" fontId="1" fillId="9" borderId="18" xfId="0" applyFont="1" applyFill="1" applyBorder="1" applyAlignment="1">
      <alignment vertical="top" wrapText="1"/>
    </xf>
    <xf numFmtId="0" fontId="1" fillId="12" borderId="18" xfId="0" applyFont="1" applyFill="1" applyBorder="1" applyAlignment="1">
      <alignment horizontal="left" vertical="top" wrapText="1" indent="1"/>
    </xf>
    <xf numFmtId="0" fontId="1" fillId="11" borderId="18" xfId="0" applyFont="1" applyFill="1" applyBorder="1" applyAlignment="1">
      <alignment vertical="top" wrapText="1"/>
    </xf>
    <xf numFmtId="187" fontId="1" fillId="11" borderId="18" xfId="0" applyNumberFormat="1" applyFont="1" applyFill="1" applyBorder="1" applyAlignment="1">
      <alignment horizontal="center" vertical="center"/>
    </xf>
    <xf numFmtId="3" fontId="1" fillId="11" borderId="18" xfId="0" applyNumberFormat="1" applyFont="1" applyFill="1" applyBorder="1" applyAlignment="1">
      <alignment horizontal="center" vertical="center"/>
    </xf>
    <xf numFmtId="189" fontId="1" fillId="11" borderId="18" xfId="0" applyNumberFormat="1" applyFont="1" applyFill="1" applyBorder="1" applyAlignment="1">
      <alignment horizontal="center" vertical="center"/>
    </xf>
    <xf numFmtId="43" fontId="1" fillId="11" borderId="18" xfId="0" applyNumberFormat="1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vertical="top"/>
    </xf>
    <xf numFmtId="0" fontId="1" fillId="10" borderId="18" xfId="0" applyFont="1" applyFill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187" fontId="1" fillId="0" borderId="29" xfId="0" applyNumberFormat="1" applyFont="1" applyBorder="1" applyAlignment="1">
      <alignment horizontal="center" vertical="center"/>
    </xf>
    <xf numFmtId="3" fontId="1" fillId="0" borderId="29" xfId="0" applyNumberFormat="1" applyFont="1" applyFill="1" applyBorder="1" applyAlignment="1">
      <alignment horizontal="center" vertical="center"/>
    </xf>
    <xf numFmtId="3" fontId="1" fillId="0" borderId="29" xfId="0" applyNumberFormat="1" applyFont="1" applyBorder="1" applyAlignment="1">
      <alignment horizontal="center" vertical="center"/>
    </xf>
    <xf numFmtId="189" fontId="1" fillId="0" borderId="29" xfId="0" applyNumberFormat="1" applyFont="1" applyFill="1" applyBorder="1" applyAlignment="1">
      <alignment horizontal="center" vertical="center"/>
    </xf>
    <xf numFmtId="43" fontId="1" fillId="0" borderId="29" xfId="0" applyNumberFormat="1" applyFont="1" applyFill="1" applyBorder="1" applyAlignment="1">
      <alignment horizontal="center" vertical="center"/>
    </xf>
    <xf numFmtId="0" fontId="1" fillId="0" borderId="29" xfId="0" applyFont="1" applyBorder="1" applyAlignment="1">
      <alignment vertical="top"/>
    </xf>
    <xf numFmtId="187" fontId="20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top" wrapText="1" indent="1"/>
    </xf>
    <xf numFmtId="188" fontId="1" fillId="0" borderId="0" xfId="2" applyNumberFormat="1" applyFont="1" applyFill="1" applyBorder="1" applyAlignment="1">
      <alignment vertical="top"/>
    </xf>
    <xf numFmtId="0" fontId="2" fillId="6" borderId="30" xfId="0" applyFont="1" applyFill="1" applyBorder="1" applyAlignment="1">
      <alignment vertical="top" wrapText="1"/>
    </xf>
    <xf numFmtId="187" fontId="1" fillId="6" borderId="30" xfId="0" applyNumberFormat="1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189" fontId="1" fillId="6" borderId="30" xfId="0" applyNumberFormat="1" applyFont="1" applyFill="1" applyBorder="1" applyAlignment="1">
      <alignment horizontal="center" vertical="center"/>
    </xf>
    <xf numFmtId="43" fontId="1" fillId="6" borderId="30" xfId="0" applyNumberFormat="1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vertical="top"/>
    </xf>
    <xf numFmtId="0" fontId="2" fillId="0" borderId="18" xfId="0" applyFont="1" applyBorder="1" applyAlignment="1">
      <alignment vertical="top" wrapText="1"/>
    </xf>
    <xf numFmtId="0" fontId="2" fillId="5" borderId="18" xfId="0" applyFont="1" applyFill="1" applyBorder="1" applyAlignment="1">
      <alignment vertical="top" wrapText="1"/>
    </xf>
    <xf numFmtId="187" fontId="1" fillId="5" borderId="18" xfId="0" applyNumberFormat="1" applyFont="1" applyFill="1" applyBorder="1" applyAlignment="1">
      <alignment horizontal="center" vertical="center"/>
    </xf>
    <xf numFmtId="3" fontId="1" fillId="5" borderId="18" xfId="0" applyNumberFormat="1" applyFont="1" applyFill="1" applyBorder="1" applyAlignment="1">
      <alignment horizontal="center" vertical="center"/>
    </xf>
    <xf numFmtId="189" fontId="1" fillId="5" borderId="18" xfId="0" applyNumberFormat="1" applyFont="1" applyFill="1" applyBorder="1" applyAlignment="1">
      <alignment horizontal="center" vertical="center"/>
    </xf>
    <xf numFmtId="43" fontId="1" fillId="5" borderId="18" xfId="0" applyNumberFormat="1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vertical="top"/>
    </xf>
    <xf numFmtId="0" fontId="2" fillId="2" borderId="18" xfId="0" applyFont="1" applyFill="1" applyBorder="1" applyAlignment="1">
      <alignment vertical="top" wrapText="1"/>
    </xf>
    <xf numFmtId="187" fontId="1" fillId="2" borderId="18" xfId="0" applyNumberFormat="1" applyFont="1" applyFill="1" applyBorder="1" applyAlignment="1">
      <alignment horizontal="center" vertical="center"/>
    </xf>
    <xf numFmtId="3" fontId="1" fillId="2" borderId="18" xfId="0" applyNumberFormat="1" applyFont="1" applyFill="1" applyBorder="1" applyAlignment="1">
      <alignment horizontal="center" vertical="center"/>
    </xf>
    <xf numFmtId="189" fontId="1" fillId="18" borderId="18" xfId="0" applyNumberFormat="1" applyFont="1" applyFill="1" applyBorder="1" applyAlignment="1">
      <alignment horizontal="center" vertical="center"/>
    </xf>
    <xf numFmtId="43" fontId="1" fillId="18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top"/>
    </xf>
    <xf numFmtId="0" fontId="14" fillId="12" borderId="18" xfId="0" applyFont="1" applyFill="1" applyBorder="1" applyAlignment="1">
      <alignment horizontal="left" wrapText="1" indent="1"/>
    </xf>
    <xf numFmtId="0" fontId="1" fillId="8" borderId="18" xfId="0" applyFont="1" applyFill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8" xfId="0" applyFont="1" applyBorder="1" applyAlignment="1">
      <alignment vertical="top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Border="1" applyAlignment="1">
      <alignment horizontal="left" vertical="top" wrapText="1" indent="1"/>
    </xf>
    <xf numFmtId="0" fontId="1" fillId="7" borderId="18" xfId="0" applyFont="1" applyFill="1" applyBorder="1" applyAlignment="1">
      <alignment vertical="top" wrapText="1"/>
    </xf>
    <xf numFmtId="187" fontId="1" fillId="7" borderId="18" xfId="0" applyNumberFormat="1" applyFont="1" applyFill="1" applyBorder="1" applyAlignment="1">
      <alignment horizontal="center" vertical="center"/>
    </xf>
    <xf numFmtId="3" fontId="1" fillId="7" borderId="18" xfId="0" applyNumberFormat="1" applyFont="1" applyFill="1" applyBorder="1" applyAlignment="1">
      <alignment horizontal="center" vertical="center"/>
    </xf>
    <xf numFmtId="189" fontId="1" fillId="7" borderId="18" xfId="0" applyNumberFormat="1" applyFont="1" applyFill="1" applyBorder="1" applyAlignment="1">
      <alignment horizontal="center" vertical="center"/>
    </xf>
    <xf numFmtId="43" fontId="1" fillId="7" borderId="18" xfId="0" applyNumberFormat="1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vertical="top"/>
    </xf>
    <xf numFmtId="187" fontId="1" fillId="0" borderId="18" xfId="0" applyNumberFormat="1" applyFont="1" applyBorder="1" applyAlignment="1">
      <alignment horizontal="center" vertical="top"/>
    </xf>
    <xf numFmtId="0" fontId="20" fillId="12" borderId="18" xfId="0" applyFont="1" applyFill="1" applyBorder="1" applyAlignment="1">
      <alignment vertical="top" wrapText="1"/>
    </xf>
    <xf numFmtId="187" fontId="1" fillId="9" borderId="18" xfId="0" applyNumberFormat="1" applyFont="1" applyFill="1" applyBorder="1" applyAlignment="1">
      <alignment vertical="top"/>
    </xf>
    <xf numFmtId="2" fontId="1" fillId="0" borderId="18" xfId="0" applyNumberFormat="1" applyFont="1" applyBorder="1" applyAlignment="1">
      <alignment vertical="top" wrapText="1"/>
    </xf>
    <xf numFmtId="0" fontId="2" fillId="0" borderId="18" xfId="0" applyFont="1" applyBorder="1" applyAlignment="1">
      <alignment horizontal="left" wrapText="1" indent="1"/>
    </xf>
    <xf numFmtId="193" fontId="1" fillId="0" borderId="18" xfId="0" applyNumberFormat="1" applyFont="1" applyFill="1" applyBorder="1" applyAlignment="1">
      <alignment vertical="top"/>
    </xf>
    <xf numFmtId="43" fontId="1" fillId="9" borderId="18" xfId="0" applyNumberFormat="1" applyFont="1" applyFill="1" applyBorder="1" applyAlignment="1">
      <alignment vertical="top"/>
    </xf>
    <xf numFmtId="0" fontId="31" fillId="0" borderId="18" xfId="0" applyFont="1" applyBorder="1" applyAlignment="1">
      <alignment vertical="top" wrapText="1"/>
    </xf>
    <xf numFmtId="191" fontId="1" fillId="4" borderId="18" xfId="2" applyNumberFormat="1" applyFont="1" applyFill="1" applyBorder="1" applyAlignment="1">
      <alignment horizontal="center" vertical="center"/>
    </xf>
    <xf numFmtId="3" fontId="1" fillId="0" borderId="18" xfId="3" applyNumberFormat="1" applyFont="1" applyFill="1" applyBorder="1" applyAlignment="1">
      <alignment vertical="top" wrapText="1"/>
    </xf>
    <xf numFmtId="190" fontId="1" fillId="0" borderId="18" xfId="3" applyNumberFormat="1" applyFont="1" applyFill="1" applyBorder="1" applyAlignment="1">
      <alignment wrapText="1"/>
    </xf>
    <xf numFmtId="190" fontId="29" fillId="0" borderId="18" xfId="3" applyNumberFormat="1" applyFont="1" applyFill="1" applyBorder="1" applyAlignment="1">
      <alignment shrinkToFit="1"/>
    </xf>
    <xf numFmtId="190" fontId="1" fillId="0" borderId="18" xfId="3" applyNumberFormat="1" applyFont="1" applyFill="1" applyBorder="1" applyAlignment="1">
      <alignment wrapText="1" shrinkToFit="1"/>
    </xf>
    <xf numFmtId="190" fontId="1" fillId="0" borderId="18" xfId="3" applyNumberFormat="1" applyFont="1" applyFill="1" applyBorder="1" applyAlignment="1">
      <alignment shrinkToFit="1"/>
    </xf>
    <xf numFmtId="190" fontId="1" fillId="12" borderId="18" xfId="3" applyNumberFormat="1" applyFont="1" applyFill="1" applyBorder="1" applyAlignment="1">
      <alignment wrapText="1"/>
    </xf>
    <xf numFmtId="189" fontId="1" fillId="11" borderId="18" xfId="2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vertical="top" wrapText="1" shrinkToFit="1"/>
    </xf>
    <xf numFmtId="0" fontId="17" fillId="0" borderId="18" xfId="0" applyFont="1" applyBorder="1" applyAlignment="1">
      <alignment vertical="top"/>
    </xf>
    <xf numFmtId="0" fontId="14" fillId="0" borderId="18" xfId="0" applyFont="1" applyFill="1" applyBorder="1" applyAlignment="1">
      <alignment horizontal="left" wrapText="1" indent="1"/>
    </xf>
    <xf numFmtId="192" fontId="1" fillId="0" borderId="0" xfId="2" applyNumberFormat="1" applyFont="1" applyFill="1" applyAlignment="1">
      <alignment vertical="top"/>
    </xf>
    <xf numFmtId="188" fontId="1" fillId="0" borderId="18" xfId="2" applyNumberFormat="1" applyFont="1" applyBorder="1" applyAlignment="1">
      <alignment vertical="top" wrapText="1"/>
    </xf>
    <xf numFmtId="0" fontId="2" fillId="15" borderId="18" xfId="0" applyFont="1" applyFill="1" applyBorder="1" applyAlignment="1">
      <alignment vertical="top" wrapText="1"/>
    </xf>
    <xf numFmtId="187" fontId="1" fillId="15" borderId="18" xfId="0" applyNumberFormat="1" applyFont="1" applyFill="1" applyBorder="1" applyAlignment="1">
      <alignment horizontal="center" vertical="center"/>
    </xf>
    <xf numFmtId="3" fontId="1" fillId="15" borderId="18" xfId="0" applyNumberFormat="1" applyFont="1" applyFill="1" applyBorder="1" applyAlignment="1">
      <alignment horizontal="center" vertical="center"/>
    </xf>
    <xf numFmtId="189" fontId="1" fillId="15" borderId="18" xfId="0" applyNumberFormat="1" applyFont="1" applyFill="1" applyBorder="1" applyAlignment="1">
      <alignment horizontal="center" vertical="center"/>
    </xf>
    <xf numFmtId="43" fontId="1" fillId="15" borderId="18" xfId="0" applyNumberFormat="1" applyFont="1" applyFill="1" applyBorder="1" applyAlignment="1">
      <alignment horizontal="center" vertical="center"/>
    </xf>
    <xf numFmtId="0" fontId="1" fillId="15" borderId="18" xfId="0" applyFont="1" applyFill="1" applyBorder="1" applyAlignment="1">
      <alignment vertical="top"/>
    </xf>
    <xf numFmtId="0" fontId="2" fillId="11" borderId="18" xfId="0" applyFont="1" applyFill="1" applyBorder="1" applyAlignment="1">
      <alignment vertical="top" wrapText="1"/>
    </xf>
    <xf numFmtId="187" fontId="1" fillId="16" borderId="18" xfId="0" applyNumberFormat="1" applyFont="1" applyFill="1" applyBorder="1" applyAlignment="1">
      <alignment horizontal="center" vertical="center"/>
    </xf>
    <xf numFmtId="0" fontId="1" fillId="18" borderId="18" xfId="0" applyFont="1" applyFill="1" applyBorder="1" applyAlignment="1">
      <alignment vertical="top"/>
    </xf>
    <xf numFmtId="0" fontId="2" fillId="18" borderId="18" xfId="0" applyFont="1" applyFill="1" applyBorder="1" applyAlignment="1">
      <alignment vertical="top" wrapText="1"/>
    </xf>
    <xf numFmtId="187" fontId="1" fillId="18" borderId="18" xfId="0" applyNumberFormat="1" applyFont="1" applyFill="1" applyBorder="1" applyAlignment="1">
      <alignment horizontal="center" vertical="center"/>
    </xf>
    <xf numFmtId="3" fontId="1" fillId="18" borderId="18" xfId="0" applyNumberFormat="1" applyFont="1" applyFill="1" applyBorder="1" applyAlignment="1">
      <alignment horizontal="center" vertical="center"/>
    </xf>
    <xf numFmtId="3" fontId="29" fillId="11" borderId="18" xfId="3" applyNumberFormat="1" applyFont="1" applyFill="1" applyBorder="1" applyAlignment="1">
      <alignment vertical="top" shrinkToFit="1"/>
    </xf>
    <xf numFmtId="0" fontId="1" fillId="0" borderId="18" xfId="0" applyFont="1" applyFill="1" applyBorder="1" applyAlignment="1">
      <alignment horizontal="center" vertical="center"/>
    </xf>
    <xf numFmtId="187" fontId="1" fillId="0" borderId="29" xfId="0" applyNumberFormat="1" applyFont="1" applyFill="1" applyBorder="1" applyAlignment="1">
      <alignment horizontal="center" vertical="center"/>
    </xf>
    <xf numFmtId="0" fontId="2" fillId="16" borderId="18" xfId="0" applyFont="1" applyFill="1" applyBorder="1" applyAlignment="1">
      <alignment vertical="top" wrapText="1"/>
    </xf>
    <xf numFmtId="3" fontId="1" fillId="16" borderId="18" xfId="0" applyNumberFormat="1" applyFont="1" applyFill="1" applyBorder="1" applyAlignment="1">
      <alignment horizontal="center" vertical="center"/>
    </xf>
    <xf numFmtId="0" fontId="1" fillId="16" borderId="18" xfId="0" applyFont="1" applyFill="1" applyBorder="1" applyAlignment="1">
      <alignment vertical="top"/>
    </xf>
    <xf numFmtId="0" fontId="2" fillId="12" borderId="18" xfId="0" applyFont="1" applyFill="1" applyBorder="1" applyAlignment="1">
      <alignment horizontal="left" vertical="top" wrapText="1" indent="1"/>
    </xf>
    <xf numFmtId="187" fontId="2" fillId="0" borderId="18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vertical="top"/>
    </xf>
    <xf numFmtId="0" fontId="1" fillId="0" borderId="29" xfId="0" applyFont="1" applyFill="1" applyBorder="1" applyAlignment="1">
      <alignment horizontal="left" vertical="top" wrapText="1" indent="2"/>
    </xf>
    <xf numFmtId="0" fontId="1" fillId="0" borderId="29" xfId="0" applyFont="1" applyFill="1" applyBorder="1" applyAlignment="1">
      <alignment vertical="top"/>
    </xf>
    <xf numFmtId="189" fontId="1" fillId="0" borderId="8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 vertical="center"/>
    </xf>
    <xf numFmtId="0" fontId="2" fillId="19" borderId="18" xfId="0" applyFont="1" applyFill="1" applyBorder="1" applyAlignment="1">
      <alignment vertical="top" wrapText="1"/>
    </xf>
    <xf numFmtId="187" fontId="1" fillId="19" borderId="18" xfId="0" applyNumberFormat="1" applyFont="1" applyFill="1" applyBorder="1" applyAlignment="1">
      <alignment horizontal="center" vertical="center"/>
    </xf>
    <xf numFmtId="3" fontId="1" fillId="19" borderId="18" xfId="0" applyNumberFormat="1" applyFont="1" applyFill="1" applyBorder="1" applyAlignment="1">
      <alignment horizontal="center" vertical="center"/>
    </xf>
    <xf numFmtId="189" fontId="1" fillId="19" borderId="18" xfId="0" applyNumberFormat="1" applyFont="1" applyFill="1" applyBorder="1" applyAlignment="1">
      <alignment horizontal="center" vertical="center"/>
    </xf>
    <xf numFmtId="43" fontId="1" fillId="19" borderId="18" xfId="0" applyNumberFormat="1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vertical="top"/>
    </xf>
    <xf numFmtId="0" fontId="2" fillId="0" borderId="30" xfId="0" applyFont="1" applyFill="1" applyBorder="1" applyAlignment="1">
      <alignment vertical="top" wrapText="1"/>
    </xf>
    <xf numFmtId="187" fontId="1" fillId="0" borderId="30" xfId="0" applyNumberFormat="1" applyFont="1" applyFill="1" applyBorder="1" applyAlignment="1">
      <alignment horizontal="center" vertical="center"/>
    </xf>
    <xf numFmtId="3" fontId="1" fillId="0" borderId="30" xfId="0" applyNumberFormat="1" applyFont="1" applyFill="1" applyBorder="1" applyAlignment="1">
      <alignment horizontal="center" vertical="center"/>
    </xf>
    <xf numFmtId="189" fontId="1" fillId="0" borderId="30" xfId="0" applyNumberFormat="1" applyFont="1" applyFill="1" applyBorder="1" applyAlignment="1">
      <alignment horizontal="center" vertical="center"/>
    </xf>
    <xf numFmtId="43" fontId="1" fillId="0" borderId="30" xfId="0" applyNumberFormat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vertical="top"/>
    </xf>
    <xf numFmtId="0" fontId="2" fillId="0" borderId="18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187" fontId="1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89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vertical="top"/>
    </xf>
    <xf numFmtId="18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1" fillId="0" borderId="5" xfId="0" applyFont="1" applyFill="1" applyBorder="1" applyAlignment="1">
      <alignment horizontal="left" vertical="top" wrapText="1" indent="2"/>
    </xf>
    <xf numFmtId="187" fontId="1" fillId="0" borderId="5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189" fontId="1" fillId="0" borderId="5" xfId="0" applyNumberFormat="1" applyFont="1" applyFill="1" applyBorder="1" applyAlignment="1">
      <alignment horizontal="center" vertical="center"/>
    </xf>
    <xf numFmtId="43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top"/>
    </xf>
    <xf numFmtId="0" fontId="2" fillId="0" borderId="0" xfId="0" applyFont="1" applyFill="1" applyAlignment="1">
      <alignment vertical="top" wrapText="1"/>
    </xf>
    <xf numFmtId="191" fontId="1" fillId="0" borderId="0" xfId="2" applyNumberFormat="1" applyFont="1" applyFill="1" applyAlignment="1">
      <alignment horizontal="center" vertical="center"/>
    </xf>
    <xf numFmtId="189" fontId="2" fillId="0" borderId="11" xfId="0" applyNumberFormat="1" applyFont="1" applyFill="1" applyBorder="1" applyAlignment="1">
      <alignment horizontal="center" vertical="top"/>
    </xf>
    <xf numFmtId="4" fontId="2" fillId="0" borderId="11" xfId="0" applyNumberFormat="1" applyFont="1" applyFill="1" applyBorder="1" applyAlignment="1">
      <alignment horizontal="center" vertical="top"/>
    </xf>
    <xf numFmtId="187" fontId="2" fillId="0" borderId="7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189" fontId="2" fillId="0" borderId="13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 wrapText="1"/>
    </xf>
    <xf numFmtId="187" fontId="1" fillId="0" borderId="8" xfId="0" applyNumberFormat="1" applyFont="1" applyFill="1" applyBorder="1" applyAlignment="1">
      <alignment horizontal="center" vertical="center"/>
    </xf>
    <xf numFmtId="3" fontId="1" fillId="0" borderId="9" xfId="0" applyNumberFormat="1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top"/>
    </xf>
    <xf numFmtId="0" fontId="1" fillId="0" borderId="29" xfId="0" applyFont="1" applyFill="1" applyBorder="1" applyAlignment="1">
      <alignment vertical="top" wrapText="1"/>
    </xf>
    <xf numFmtId="188" fontId="1" fillId="0" borderId="18" xfId="2" applyNumberFormat="1" applyFont="1" applyFill="1" applyBorder="1" applyAlignment="1">
      <alignment vertical="top" wrapText="1"/>
    </xf>
    <xf numFmtId="0" fontId="20" fillId="0" borderId="18" xfId="0" applyFont="1" applyFill="1" applyBorder="1" applyAlignment="1">
      <alignment vertical="top"/>
    </xf>
    <xf numFmtId="43" fontId="1" fillId="0" borderId="0" xfId="2" applyFont="1" applyFill="1" applyAlignment="1">
      <alignment vertical="top"/>
    </xf>
    <xf numFmtId="0" fontId="20" fillId="0" borderId="18" xfId="0" applyFont="1" applyFill="1" applyBorder="1" applyAlignment="1">
      <alignment horizontal="left" vertical="top" wrapText="1" indent="1"/>
    </xf>
    <xf numFmtId="187" fontId="1" fillId="0" borderId="18" xfId="0" applyNumberFormat="1" applyFont="1" applyFill="1" applyBorder="1" applyAlignment="1">
      <alignment horizontal="center" vertical="top"/>
    </xf>
    <xf numFmtId="191" fontId="1" fillId="0" borderId="0" xfId="2" applyNumberFormat="1" applyFont="1" applyFill="1" applyAlignment="1">
      <alignment vertical="top"/>
    </xf>
    <xf numFmtId="188" fontId="20" fillId="0" borderId="0" xfId="2" applyNumberFormat="1" applyFont="1" applyFill="1" applyAlignment="1">
      <alignment vertical="top"/>
    </xf>
    <xf numFmtId="187" fontId="1" fillId="0" borderId="18" xfId="0" applyNumberFormat="1" applyFont="1" applyFill="1" applyBorder="1" applyAlignment="1">
      <alignment vertical="top"/>
    </xf>
    <xf numFmtId="188" fontId="31" fillId="0" borderId="0" xfId="2" applyNumberFormat="1" applyFont="1" applyFill="1" applyAlignment="1">
      <alignment vertical="top"/>
    </xf>
    <xf numFmtId="2" fontId="1" fillId="0" borderId="18" xfId="0" applyNumberFormat="1" applyFont="1" applyFill="1" applyBorder="1" applyAlignment="1">
      <alignment vertical="top" wrapText="1"/>
    </xf>
    <xf numFmtId="189" fontId="1" fillId="0" borderId="0" xfId="2" applyNumberFormat="1" applyFont="1" applyFill="1" applyAlignment="1">
      <alignment vertical="top"/>
    </xf>
    <xf numFmtId="0" fontId="2" fillId="0" borderId="18" xfId="0" applyFont="1" applyFill="1" applyBorder="1" applyAlignment="1">
      <alignment horizontal="left" wrapText="1" indent="1"/>
    </xf>
    <xf numFmtId="189" fontId="1" fillId="0" borderId="6" xfId="0" applyNumberFormat="1" applyFont="1" applyFill="1" applyBorder="1" applyAlignment="1">
      <alignment vertical="top"/>
    </xf>
    <xf numFmtId="43" fontId="1" fillId="0" borderId="18" xfId="0" applyNumberFormat="1" applyFont="1" applyFill="1" applyBorder="1" applyAlignment="1">
      <alignment vertical="top"/>
    </xf>
    <xf numFmtId="0" fontId="31" fillId="0" borderId="18" xfId="0" applyFont="1" applyFill="1" applyBorder="1" applyAlignment="1">
      <alignment vertical="top" wrapText="1"/>
    </xf>
    <xf numFmtId="191" fontId="1" fillId="0" borderId="18" xfId="2" applyNumberFormat="1" applyFont="1" applyFill="1" applyBorder="1" applyAlignment="1">
      <alignment horizontal="center" vertical="center"/>
    </xf>
    <xf numFmtId="3" fontId="29" fillId="0" borderId="18" xfId="3" applyNumberFormat="1" applyFont="1" applyFill="1" applyBorder="1" applyAlignment="1">
      <alignment vertical="top" shrinkToFit="1"/>
    </xf>
    <xf numFmtId="189" fontId="1" fillId="0" borderId="18" xfId="2" applyNumberFormat="1" applyFont="1" applyFill="1" applyBorder="1" applyAlignment="1">
      <alignment horizontal="center" vertical="center"/>
    </xf>
    <xf numFmtId="188" fontId="1" fillId="0" borderId="0" xfId="0" applyNumberFormat="1" applyFont="1" applyFill="1" applyAlignment="1">
      <alignment vertical="top"/>
    </xf>
    <xf numFmtId="0" fontId="1" fillId="0" borderId="18" xfId="0" applyFont="1" applyFill="1" applyBorder="1" applyAlignment="1">
      <alignment vertical="top" wrapText="1" shrinkToFit="1"/>
    </xf>
    <xf numFmtId="0" fontId="17" fillId="0" borderId="18" xfId="0" applyFont="1" applyFill="1" applyBorder="1" applyAlignment="1">
      <alignment vertical="top"/>
    </xf>
    <xf numFmtId="0" fontId="2" fillId="0" borderId="18" xfId="0" applyFont="1" applyFill="1" applyBorder="1" applyAlignment="1">
      <alignment horizontal="left" vertical="top" wrapText="1" indent="1"/>
    </xf>
    <xf numFmtId="187" fontId="2" fillId="0" borderId="18" xfId="0" applyNumberFormat="1" applyFont="1" applyFill="1" applyBorder="1" applyAlignment="1">
      <alignment horizontal="center" vertic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187" fontId="1" fillId="0" borderId="16" xfId="0" applyNumberFormat="1" applyFont="1" applyFill="1" applyBorder="1" applyAlignment="1">
      <alignment vertical="top"/>
    </xf>
    <xf numFmtId="189" fontId="2" fillId="0" borderId="12" xfId="0" applyNumberFormat="1" applyFont="1" applyFill="1" applyBorder="1" applyAlignment="1">
      <alignment horizontal="center" vertical="center"/>
    </xf>
    <xf numFmtId="4" fontId="2" fillId="0" borderId="12" xfId="0" applyNumberFormat="1" applyFont="1" applyFill="1" applyBorder="1" applyAlignment="1">
      <alignment horizontal="center" vertical="top"/>
    </xf>
    <xf numFmtId="191" fontId="1" fillId="0" borderId="18" xfId="2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87" fontId="2" fillId="0" borderId="4" xfId="0" applyNumberFormat="1" applyFont="1" applyFill="1" applyBorder="1" applyAlignment="1">
      <alignment horizontal="center" vertical="center"/>
    </xf>
    <xf numFmtId="187" fontId="2" fillId="0" borderId="2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190" fontId="29" fillId="0" borderId="0" xfId="3" applyNumberFormat="1" applyFont="1" applyFill="1" applyBorder="1" applyAlignment="1">
      <alignment horizontal="center" shrinkToFit="1"/>
    </xf>
    <xf numFmtId="187" fontId="2" fillId="0" borderId="4" xfId="0" applyNumberFormat="1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26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14" fillId="0" borderId="28" xfId="0" applyFont="1" applyBorder="1" applyAlignment="1">
      <alignment horizontal="left" wrapText="1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17" xfId="0" applyFont="1" applyBorder="1" applyAlignment="1">
      <alignment horizontal="left"/>
    </xf>
    <xf numFmtId="0" fontId="16" fillId="0" borderId="26" xfId="0" applyFont="1" applyBorder="1" applyAlignment="1">
      <alignment horizontal="left" wrapText="1"/>
    </xf>
    <xf numFmtId="0" fontId="16" fillId="0" borderId="27" xfId="0" applyFont="1" applyBorder="1" applyAlignment="1">
      <alignment horizontal="left" wrapText="1"/>
    </xf>
    <xf numFmtId="0" fontId="16" fillId="0" borderId="28" xfId="0" applyFont="1" applyBorder="1" applyAlignment="1">
      <alignment horizontal="left" wrapText="1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8" fillId="0" borderId="0" xfId="0" applyFont="1" applyFill="1" applyAlignment="1">
      <alignment horizontal="center" vertical="center"/>
    </xf>
    <xf numFmtId="0" fontId="20" fillId="0" borderId="0" xfId="0" applyFont="1" applyAlignment="1">
      <alignment vertical="top"/>
    </xf>
    <xf numFmtId="0" fontId="20" fillId="11" borderId="18" xfId="0" applyFont="1" applyFill="1" applyBorder="1" applyAlignment="1">
      <alignment vertical="top" wrapText="1"/>
    </xf>
    <xf numFmtId="187" fontId="20" fillId="11" borderId="18" xfId="0" applyNumberFormat="1" applyFont="1" applyFill="1" applyBorder="1" applyAlignment="1">
      <alignment horizontal="center" vertical="center"/>
    </xf>
    <xf numFmtId="3" fontId="20" fillId="11" borderId="18" xfId="0" applyNumberFormat="1" applyFont="1" applyFill="1" applyBorder="1" applyAlignment="1">
      <alignment horizontal="center" vertical="center"/>
    </xf>
    <xf numFmtId="189" fontId="20" fillId="11" borderId="18" xfId="0" applyNumberFormat="1" applyFont="1" applyFill="1" applyBorder="1" applyAlignment="1">
      <alignment horizontal="center" vertical="center"/>
    </xf>
    <xf numFmtId="43" fontId="20" fillId="11" borderId="18" xfId="0" applyNumberFormat="1" applyFont="1" applyFill="1" applyBorder="1" applyAlignment="1">
      <alignment horizontal="center" vertical="center"/>
    </xf>
    <xf numFmtId="0" fontId="20" fillId="11" borderId="18" xfId="0" applyFont="1" applyFill="1" applyBorder="1" applyAlignment="1">
      <alignment vertical="top"/>
    </xf>
    <xf numFmtId="187" fontId="20" fillId="0" borderId="18" xfId="0" applyNumberFormat="1" applyFont="1" applyBorder="1" applyAlignment="1">
      <alignment horizontal="center" vertical="center"/>
    </xf>
    <xf numFmtId="3" fontId="20" fillId="0" borderId="18" xfId="0" applyNumberFormat="1" applyFont="1" applyFill="1" applyBorder="1" applyAlignment="1">
      <alignment horizontal="center" vertical="center"/>
    </xf>
    <xf numFmtId="3" fontId="20" fillId="0" borderId="18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vertical="top"/>
    </xf>
    <xf numFmtId="0" fontId="30" fillId="2" borderId="18" xfId="0" applyFont="1" applyFill="1" applyBorder="1" applyAlignment="1">
      <alignment vertical="top" wrapText="1"/>
    </xf>
    <xf numFmtId="187" fontId="20" fillId="2" borderId="18" xfId="0" applyNumberFormat="1" applyFont="1" applyFill="1" applyBorder="1" applyAlignment="1">
      <alignment horizontal="center" vertical="center"/>
    </xf>
    <xf numFmtId="3" fontId="20" fillId="2" borderId="18" xfId="0" applyNumberFormat="1" applyFont="1" applyFill="1" applyBorder="1" applyAlignment="1">
      <alignment horizontal="center" vertical="center"/>
    </xf>
    <xf numFmtId="189" fontId="20" fillId="18" borderId="18" xfId="0" applyNumberFormat="1" applyFont="1" applyFill="1" applyBorder="1" applyAlignment="1">
      <alignment horizontal="center" vertical="center"/>
    </xf>
    <xf numFmtId="43" fontId="20" fillId="18" borderId="18" xfId="0" applyNumberFormat="1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vertical="top"/>
    </xf>
  </cellXfs>
  <cellStyles count="7">
    <cellStyle name="Normal 2" xfId="1"/>
    <cellStyle name="เครื่องหมายจุลภาค" xfId="2" builtinId="3"/>
    <cellStyle name="เครื่องหมายจุลภาค 2 2" xfId="3"/>
    <cellStyle name="ปกติ" xfId="0" builtinId="0"/>
    <cellStyle name="ปกติ 2 2" xfId="4"/>
    <cellStyle name="ปกติ 2_2.3.1คำชี้แจงซ้ายขวา54-55 ล่าสุด" xfId="5"/>
    <cellStyle name="เปอร์เซ็นต์ 2 2" xfId="6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1321594</xdr:colOff>
      <xdr:row>160</xdr:row>
      <xdr:rowOff>35719</xdr:rowOff>
    </xdr:from>
    <xdr:to>
      <xdr:col>10</xdr:col>
      <xdr:colOff>1428750</xdr:colOff>
      <xdr:row>165</xdr:row>
      <xdr:rowOff>0</xdr:rowOff>
    </xdr:to>
    <xdr:sp macro="" textlink="">
      <xdr:nvSpPr>
        <xdr:cNvPr id="2" name="Right Brace 1"/>
        <xdr:cNvSpPr/>
      </xdr:nvSpPr>
      <xdr:spPr>
        <a:xfrm>
          <a:off x="12275344" y="54109144"/>
          <a:ext cx="107156" cy="115490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1500188</xdr:colOff>
      <xdr:row>159</xdr:row>
      <xdr:rowOff>238125</xdr:rowOff>
    </xdr:from>
    <xdr:to>
      <xdr:col>10</xdr:col>
      <xdr:colOff>2809875</xdr:colOff>
      <xdr:row>166</xdr:row>
      <xdr:rowOff>71437</xdr:rowOff>
    </xdr:to>
    <xdr:sp macro="" textlink="">
      <xdr:nvSpPr>
        <xdr:cNvPr id="3" name="TextBox 2"/>
        <xdr:cNvSpPr txBox="1"/>
      </xdr:nvSpPr>
      <xdr:spPr>
        <a:xfrm>
          <a:off x="12453938" y="54073425"/>
          <a:ext cx="1309687" cy="15001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ปี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2560 ดย. ของบประมาณเพิ่มเนื่องจากมีการปรับโครงสร้างกระทรวงทำให้มีหน่วยงานเพิ่มขึ้นส่งผลให้ค่าใข้จ่ายค่าสาธารณูปโภคเพิ่มขึ้น</a:t>
          </a:r>
        </a:p>
        <a:p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1321594</xdr:colOff>
      <xdr:row>131</xdr:row>
      <xdr:rowOff>35719</xdr:rowOff>
    </xdr:from>
    <xdr:to>
      <xdr:col>10</xdr:col>
      <xdr:colOff>1428750</xdr:colOff>
      <xdr:row>136</xdr:row>
      <xdr:rowOff>0</xdr:rowOff>
    </xdr:to>
    <xdr:sp macro="" textlink="">
      <xdr:nvSpPr>
        <xdr:cNvPr id="2" name="Right Brace 1"/>
        <xdr:cNvSpPr/>
      </xdr:nvSpPr>
      <xdr:spPr>
        <a:xfrm>
          <a:off x="12275344" y="70377844"/>
          <a:ext cx="107156" cy="134540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1500188</xdr:colOff>
      <xdr:row>130</xdr:row>
      <xdr:rowOff>238125</xdr:rowOff>
    </xdr:from>
    <xdr:to>
      <xdr:col>10</xdr:col>
      <xdr:colOff>2809875</xdr:colOff>
      <xdr:row>137</xdr:row>
      <xdr:rowOff>71437</xdr:rowOff>
    </xdr:to>
    <xdr:sp macro="" textlink="">
      <xdr:nvSpPr>
        <xdr:cNvPr id="3" name="TextBox 2"/>
        <xdr:cNvSpPr txBox="1"/>
      </xdr:nvSpPr>
      <xdr:spPr>
        <a:xfrm>
          <a:off x="12453938" y="70304025"/>
          <a:ext cx="1309687" cy="17668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ปี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2560 ดย. ของบประมาณเพิ่มเนื่องจากมีการปรับโครงสร้างกระทรวงทำให้มีหน่วยงานเพิ่มขึ้นส่งผลให้ค่าใข้จ่ายค่าสาธารณูปโภคเพิ่มขึ้น</a:t>
          </a:r>
        </a:p>
        <a:p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2:M38"/>
  <sheetViews>
    <sheetView zoomScale="80" zoomScaleNormal="80" zoomScalePageLayoutView="11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10" sqref="K10"/>
    </sheetView>
  </sheetViews>
  <sheetFormatPr defaultRowHeight="18.75"/>
  <cols>
    <col min="1" max="1" width="1.625" style="106" customWidth="1"/>
    <col min="2" max="2" width="36.25" style="287" customWidth="1"/>
    <col min="3" max="3" width="13.25" style="288" customWidth="1"/>
    <col min="4" max="4" width="13.25" style="289" customWidth="1"/>
    <col min="5" max="5" width="13.25" style="288" customWidth="1"/>
    <col min="6" max="6" width="9.625" style="288" customWidth="1"/>
    <col min="7" max="7" width="8.75" style="289" customWidth="1"/>
    <col min="8" max="8" width="13.25" style="288" customWidth="1"/>
    <col min="9" max="9" width="10.875" style="290" customWidth="1"/>
    <col min="10" max="10" width="10" style="291" customWidth="1"/>
    <col min="11" max="11" width="38.25" style="106" customWidth="1"/>
    <col min="12" max="12" width="10.375" style="105" customWidth="1"/>
    <col min="13" max="13" width="9.625" style="105" bestFit="1" customWidth="1"/>
    <col min="14" max="14" width="10.875" style="106" bestFit="1" customWidth="1"/>
    <col min="15" max="252" width="9" style="106"/>
    <col min="253" max="253" width="1.625" style="106" customWidth="1"/>
    <col min="254" max="254" width="35" style="106" customWidth="1"/>
    <col min="255" max="258" width="13.25" style="106" customWidth="1"/>
    <col min="259" max="259" width="38.875" style="106" customWidth="1"/>
    <col min="260" max="260" width="16.75" style="106" customWidth="1"/>
    <col min="261" max="508" width="9" style="106"/>
    <col min="509" max="509" width="1.625" style="106" customWidth="1"/>
    <col min="510" max="510" width="35" style="106" customWidth="1"/>
    <col min="511" max="514" width="13.25" style="106" customWidth="1"/>
    <col min="515" max="515" width="38.875" style="106" customWidth="1"/>
    <col min="516" max="516" width="16.75" style="106" customWidth="1"/>
    <col min="517" max="764" width="9" style="106"/>
    <col min="765" max="765" width="1.625" style="106" customWidth="1"/>
    <col min="766" max="766" width="35" style="106" customWidth="1"/>
    <col min="767" max="770" width="13.25" style="106" customWidth="1"/>
    <col min="771" max="771" width="38.875" style="106" customWidth="1"/>
    <col min="772" max="772" width="16.75" style="106" customWidth="1"/>
    <col min="773" max="1020" width="9" style="106"/>
    <col min="1021" max="1021" width="1.625" style="106" customWidth="1"/>
    <col min="1022" max="1022" width="35" style="106" customWidth="1"/>
    <col min="1023" max="1026" width="13.25" style="106" customWidth="1"/>
    <col min="1027" max="1027" width="38.875" style="106" customWidth="1"/>
    <col min="1028" max="1028" width="16.75" style="106" customWidth="1"/>
    <col min="1029" max="1276" width="9" style="106"/>
    <col min="1277" max="1277" width="1.625" style="106" customWidth="1"/>
    <col min="1278" max="1278" width="35" style="106" customWidth="1"/>
    <col min="1279" max="1282" width="13.25" style="106" customWidth="1"/>
    <col min="1283" max="1283" width="38.875" style="106" customWidth="1"/>
    <col min="1284" max="1284" width="16.75" style="106" customWidth="1"/>
    <col min="1285" max="1532" width="9" style="106"/>
    <col min="1533" max="1533" width="1.625" style="106" customWidth="1"/>
    <col min="1534" max="1534" width="35" style="106" customWidth="1"/>
    <col min="1535" max="1538" width="13.25" style="106" customWidth="1"/>
    <col min="1539" max="1539" width="38.875" style="106" customWidth="1"/>
    <col min="1540" max="1540" width="16.75" style="106" customWidth="1"/>
    <col min="1541" max="1788" width="9" style="106"/>
    <col min="1789" max="1789" width="1.625" style="106" customWidth="1"/>
    <col min="1790" max="1790" width="35" style="106" customWidth="1"/>
    <col min="1791" max="1794" width="13.25" style="106" customWidth="1"/>
    <col min="1795" max="1795" width="38.875" style="106" customWidth="1"/>
    <col min="1796" max="1796" width="16.75" style="106" customWidth="1"/>
    <col min="1797" max="2044" width="9" style="106"/>
    <col min="2045" max="2045" width="1.625" style="106" customWidth="1"/>
    <col min="2046" max="2046" width="35" style="106" customWidth="1"/>
    <col min="2047" max="2050" width="13.25" style="106" customWidth="1"/>
    <col min="2051" max="2051" width="38.875" style="106" customWidth="1"/>
    <col min="2052" max="2052" width="16.75" style="106" customWidth="1"/>
    <col min="2053" max="2300" width="9" style="106"/>
    <col min="2301" max="2301" width="1.625" style="106" customWidth="1"/>
    <col min="2302" max="2302" width="35" style="106" customWidth="1"/>
    <col min="2303" max="2306" width="13.25" style="106" customWidth="1"/>
    <col min="2307" max="2307" width="38.875" style="106" customWidth="1"/>
    <col min="2308" max="2308" width="16.75" style="106" customWidth="1"/>
    <col min="2309" max="2556" width="9" style="106"/>
    <col min="2557" max="2557" width="1.625" style="106" customWidth="1"/>
    <col min="2558" max="2558" width="35" style="106" customWidth="1"/>
    <col min="2559" max="2562" width="13.25" style="106" customWidth="1"/>
    <col min="2563" max="2563" width="38.875" style="106" customWidth="1"/>
    <col min="2564" max="2564" width="16.75" style="106" customWidth="1"/>
    <col min="2565" max="2812" width="9" style="106"/>
    <col min="2813" max="2813" width="1.625" style="106" customWidth="1"/>
    <col min="2814" max="2814" width="35" style="106" customWidth="1"/>
    <col min="2815" max="2818" width="13.25" style="106" customWidth="1"/>
    <col min="2819" max="2819" width="38.875" style="106" customWidth="1"/>
    <col min="2820" max="2820" width="16.75" style="106" customWidth="1"/>
    <col min="2821" max="3068" width="9" style="106"/>
    <col min="3069" max="3069" width="1.625" style="106" customWidth="1"/>
    <col min="3070" max="3070" width="35" style="106" customWidth="1"/>
    <col min="3071" max="3074" width="13.25" style="106" customWidth="1"/>
    <col min="3075" max="3075" width="38.875" style="106" customWidth="1"/>
    <col min="3076" max="3076" width="16.75" style="106" customWidth="1"/>
    <col min="3077" max="3324" width="9" style="106"/>
    <col min="3325" max="3325" width="1.625" style="106" customWidth="1"/>
    <col min="3326" max="3326" width="35" style="106" customWidth="1"/>
    <col min="3327" max="3330" width="13.25" style="106" customWidth="1"/>
    <col min="3331" max="3331" width="38.875" style="106" customWidth="1"/>
    <col min="3332" max="3332" width="16.75" style="106" customWidth="1"/>
    <col min="3333" max="3580" width="9" style="106"/>
    <col min="3581" max="3581" width="1.625" style="106" customWidth="1"/>
    <col min="3582" max="3582" width="35" style="106" customWidth="1"/>
    <col min="3583" max="3586" width="13.25" style="106" customWidth="1"/>
    <col min="3587" max="3587" width="38.875" style="106" customWidth="1"/>
    <col min="3588" max="3588" width="16.75" style="106" customWidth="1"/>
    <col min="3589" max="3836" width="9" style="106"/>
    <col min="3837" max="3837" width="1.625" style="106" customWidth="1"/>
    <col min="3838" max="3838" width="35" style="106" customWidth="1"/>
    <col min="3839" max="3842" width="13.25" style="106" customWidth="1"/>
    <col min="3843" max="3843" width="38.875" style="106" customWidth="1"/>
    <col min="3844" max="3844" width="16.75" style="106" customWidth="1"/>
    <col min="3845" max="4092" width="9" style="106"/>
    <col min="4093" max="4093" width="1.625" style="106" customWidth="1"/>
    <col min="4094" max="4094" width="35" style="106" customWidth="1"/>
    <col min="4095" max="4098" width="13.25" style="106" customWidth="1"/>
    <col min="4099" max="4099" width="38.875" style="106" customWidth="1"/>
    <col min="4100" max="4100" width="16.75" style="106" customWidth="1"/>
    <col min="4101" max="4348" width="9" style="106"/>
    <col min="4349" max="4349" width="1.625" style="106" customWidth="1"/>
    <col min="4350" max="4350" width="35" style="106" customWidth="1"/>
    <col min="4351" max="4354" width="13.25" style="106" customWidth="1"/>
    <col min="4355" max="4355" width="38.875" style="106" customWidth="1"/>
    <col min="4356" max="4356" width="16.75" style="106" customWidth="1"/>
    <col min="4357" max="4604" width="9" style="106"/>
    <col min="4605" max="4605" width="1.625" style="106" customWidth="1"/>
    <col min="4606" max="4606" width="35" style="106" customWidth="1"/>
    <col min="4607" max="4610" width="13.25" style="106" customWidth="1"/>
    <col min="4611" max="4611" width="38.875" style="106" customWidth="1"/>
    <col min="4612" max="4612" width="16.75" style="106" customWidth="1"/>
    <col min="4613" max="4860" width="9" style="106"/>
    <col min="4861" max="4861" width="1.625" style="106" customWidth="1"/>
    <col min="4862" max="4862" width="35" style="106" customWidth="1"/>
    <col min="4863" max="4866" width="13.25" style="106" customWidth="1"/>
    <col min="4867" max="4867" width="38.875" style="106" customWidth="1"/>
    <col min="4868" max="4868" width="16.75" style="106" customWidth="1"/>
    <col min="4869" max="5116" width="9" style="106"/>
    <col min="5117" max="5117" width="1.625" style="106" customWidth="1"/>
    <col min="5118" max="5118" width="35" style="106" customWidth="1"/>
    <col min="5119" max="5122" width="13.25" style="106" customWidth="1"/>
    <col min="5123" max="5123" width="38.875" style="106" customWidth="1"/>
    <col min="5124" max="5124" width="16.75" style="106" customWidth="1"/>
    <col min="5125" max="5372" width="9" style="106"/>
    <col min="5373" max="5373" width="1.625" style="106" customWidth="1"/>
    <col min="5374" max="5374" width="35" style="106" customWidth="1"/>
    <col min="5375" max="5378" width="13.25" style="106" customWidth="1"/>
    <col min="5379" max="5379" width="38.875" style="106" customWidth="1"/>
    <col min="5380" max="5380" width="16.75" style="106" customWidth="1"/>
    <col min="5381" max="5628" width="9" style="106"/>
    <col min="5629" max="5629" width="1.625" style="106" customWidth="1"/>
    <col min="5630" max="5630" width="35" style="106" customWidth="1"/>
    <col min="5631" max="5634" width="13.25" style="106" customWidth="1"/>
    <col min="5635" max="5635" width="38.875" style="106" customWidth="1"/>
    <col min="5636" max="5636" width="16.75" style="106" customWidth="1"/>
    <col min="5637" max="5884" width="9" style="106"/>
    <col min="5885" max="5885" width="1.625" style="106" customWidth="1"/>
    <col min="5886" max="5886" width="35" style="106" customWidth="1"/>
    <col min="5887" max="5890" width="13.25" style="106" customWidth="1"/>
    <col min="5891" max="5891" width="38.875" style="106" customWidth="1"/>
    <col min="5892" max="5892" width="16.75" style="106" customWidth="1"/>
    <col min="5893" max="6140" width="9" style="106"/>
    <col min="6141" max="6141" width="1.625" style="106" customWidth="1"/>
    <col min="6142" max="6142" width="35" style="106" customWidth="1"/>
    <col min="6143" max="6146" width="13.25" style="106" customWidth="1"/>
    <col min="6147" max="6147" width="38.875" style="106" customWidth="1"/>
    <col min="6148" max="6148" width="16.75" style="106" customWidth="1"/>
    <col min="6149" max="6396" width="9" style="106"/>
    <col min="6397" max="6397" width="1.625" style="106" customWidth="1"/>
    <col min="6398" max="6398" width="35" style="106" customWidth="1"/>
    <col min="6399" max="6402" width="13.25" style="106" customWidth="1"/>
    <col min="6403" max="6403" width="38.875" style="106" customWidth="1"/>
    <col min="6404" max="6404" width="16.75" style="106" customWidth="1"/>
    <col min="6405" max="6652" width="9" style="106"/>
    <col min="6653" max="6653" width="1.625" style="106" customWidth="1"/>
    <col min="6654" max="6654" width="35" style="106" customWidth="1"/>
    <col min="6655" max="6658" width="13.25" style="106" customWidth="1"/>
    <col min="6659" max="6659" width="38.875" style="106" customWidth="1"/>
    <col min="6660" max="6660" width="16.75" style="106" customWidth="1"/>
    <col min="6661" max="6908" width="9" style="106"/>
    <col min="6909" max="6909" width="1.625" style="106" customWidth="1"/>
    <col min="6910" max="6910" width="35" style="106" customWidth="1"/>
    <col min="6911" max="6914" width="13.25" style="106" customWidth="1"/>
    <col min="6915" max="6915" width="38.875" style="106" customWidth="1"/>
    <col min="6916" max="6916" width="16.75" style="106" customWidth="1"/>
    <col min="6917" max="7164" width="9" style="106"/>
    <col min="7165" max="7165" width="1.625" style="106" customWidth="1"/>
    <col min="7166" max="7166" width="35" style="106" customWidth="1"/>
    <col min="7167" max="7170" width="13.25" style="106" customWidth="1"/>
    <col min="7171" max="7171" width="38.875" style="106" customWidth="1"/>
    <col min="7172" max="7172" width="16.75" style="106" customWidth="1"/>
    <col min="7173" max="7420" width="9" style="106"/>
    <col min="7421" max="7421" width="1.625" style="106" customWidth="1"/>
    <col min="7422" max="7422" width="35" style="106" customWidth="1"/>
    <col min="7423" max="7426" width="13.25" style="106" customWidth="1"/>
    <col min="7427" max="7427" width="38.875" style="106" customWidth="1"/>
    <col min="7428" max="7428" width="16.75" style="106" customWidth="1"/>
    <col min="7429" max="7676" width="9" style="106"/>
    <col min="7677" max="7677" width="1.625" style="106" customWidth="1"/>
    <col min="7678" max="7678" width="35" style="106" customWidth="1"/>
    <col min="7679" max="7682" width="13.25" style="106" customWidth="1"/>
    <col min="7683" max="7683" width="38.875" style="106" customWidth="1"/>
    <col min="7684" max="7684" width="16.75" style="106" customWidth="1"/>
    <col min="7685" max="7932" width="9" style="106"/>
    <col min="7933" max="7933" width="1.625" style="106" customWidth="1"/>
    <col min="7934" max="7934" width="35" style="106" customWidth="1"/>
    <col min="7935" max="7938" width="13.25" style="106" customWidth="1"/>
    <col min="7939" max="7939" width="38.875" style="106" customWidth="1"/>
    <col min="7940" max="7940" width="16.75" style="106" customWidth="1"/>
    <col min="7941" max="8188" width="9" style="106"/>
    <col min="8189" max="8189" width="1.625" style="106" customWidth="1"/>
    <col min="8190" max="8190" width="35" style="106" customWidth="1"/>
    <col min="8191" max="8194" width="13.25" style="106" customWidth="1"/>
    <col min="8195" max="8195" width="38.875" style="106" customWidth="1"/>
    <col min="8196" max="8196" width="16.75" style="106" customWidth="1"/>
    <col min="8197" max="8444" width="9" style="106"/>
    <col min="8445" max="8445" width="1.625" style="106" customWidth="1"/>
    <col min="8446" max="8446" width="35" style="106" customWidth="1"/>
    <col min="8447" max="8450" width="13.25" style="106" customWidth="1"/>
    <col min="8451" max="8451" width="38.875" style="106" customWidth="1"/>
    <col min="8452" max="8452" width="16.75" style="106" customWidth="1"/>
    <col min="8453" max="8700" width="9" style="106"/>
    <col min="8701" max="8701" width="1.625" style="106" customWidth="1"/>
    <col min="8702" max="8702" width="35" style="106" customWidth="1"/>
    <col min="8703" max="8706" width="13.25" style="106" customWidth="1"/>
    <col min="8707" max="8707" width="38.875" style="106" customWidth="1"/>
    <col min="8708" max="8708" width="16.75" style="106" customWidth="1"/>
    <col min="8709" max="8956" width="9" style="106"/>
    <col min="8957" max="8957" width="1.625" style="106" customWidth="1"/>
    <col min="8958" max="8958" width="35" style="106" customWidth="1"/>
    <col min="8959" max="8962" width="13.25" style="106" customWidth="1"/>
    <col min="8963" max="8963" width="38.875" style="106" customWidth="1"/>
    <col min="8964" max="8964" width="16.75" style="106" customWidth="1"/>
    <col min="8965" max="9212" width="9" style="106"/>
    <col min="9213" max="9213" width="1.625" style="106" customWidth="1"/>
    <col min="9214" max="9214" width="35" style="106" customWidth="1"/>
    <col min="9215" max="9218" width="13.25" style="106" customWidth="1"/>
    <col min="9219" max="9219" width="38.875" style="106" customWidth="1"/>
    <col min="9220" max="9220" width="16.75" style="106" customWidth="1"/>
    <col min="9221" max="9468" width="9" style="106"/>
    <col min="9469" max="9469" width="1.625" style="106" customWidth="1"/>
    <col min="9470" max="9470" width="35" style="106" customWidth="1"/>
    <col min="9471" max="9474" width="13.25" style="106" customWidth="1"/>
    <col min="9475" max="9475" width="38.875" style="106" customWidth="1"/>
    <col min="9476" max="9476" width="16.75" style="106" customWidth="1"/>
    <col min="9477" max="9724" width="9" style="106"/>
    <col min="9725" max="9725" width="1.625" style="106" customWidth="1"/>
    <col min="9726" max="9726" width="35" style="106" customWidth="1"/>
    <col min="9727" max="9730" width="13.25" style="106" customWidth="1"/>
    <col min="9731" max="9731" width="38.875" style="106" customWidth="1"/>
    <col min="9732" max="9732" width="16.75" style="106" customWidth="1"/>
    <col min="9733" max="9980" width="9" style="106"/>
    <col min="9981" max="9981" width="1.625" style="106" customWidth="1"/>
    <col min="9982" max="9982" width="35" style="106" customWidth="1"/>
    <col min="9983" max="9986" width="13.25" style="106" customWidth="1"/>
    <col min="9987" max="9987" width="38.875" style="106" customWidth="1"/>
    <col min="9988" max="9988" width="16.75" style="106" customWidth="1"/>
    <col min="9989" max="10236" width="9" style="106"/>
    <col min="10237" max="10237" width="1.625" style="106" customWidth="1"/>
    <col min="10238" max="10238" width="35" style="106" customWidth="1"/>
    <col min="10239" max="10242" width="13.25" style="106" customWidth="1"/>
    <col min="10243" max="10243" width="38.875" style="106" customWidth="1"/>
    <col min="10244" max="10244" width="16.75" style="106" customWidth="1"/>
    <col min="10245" max="10492" width="9" style="106"/>
    <col min="10493" max="10493" width="1.625" style="106" customWidth="1"/>
    <col min="10494" max="10494" width="35" style="106" customWidth="1"/>
    <col min="10495" max="10498" width="13.25" style="106" customWidth="1"/>
    <col min="10499" max="10499" width="38.875" style="106" customWidth="1"/>
    <col min="10500" max="10500" width="16.75" style="106" customWidth="1"/>
    <col min="10501" max="10748" width="9" style="106"/>
    <col min="10749" max="10749" width="1.625" style="106" customWidth="1"/>
    <col min="10750" max="10750" width="35" style="106" customWidth="1"/>
    <col min="10751" max="10754" width="13.25" style="106" customWidth="1"/>
    <col min="10755" max="10755" width="38.875" style="106" customWidth="1"/>
    <col min="10756" max="10756" width="16.75" style="106" customWidth="1"/>
    <col min="10757" max="11004" width="9" style="106"/>
    <col min="11005" max="11005" width="1.625" style="106" customWidth="1"/>
    <col min="11006" max="11006" width="35" style="106" customWidth="1"/>
    <col min="11007" max="11010" width="13.25" style="106" customWidth="1"/>
    <col min="11011" max="11011" width="38.875" style="106" customWidth="1"/>
    <col min="11012" max="11012" width="16.75" style="106" customWidth="1"/>
    <col min="11013" max="11260" width="9" style="106"/>
    <col min="11261" max="11261" width="1.625" style="106" customWidth="1"/>
    <col min="11262" max="11262" width="35" style="106" customWidth="1"/>
    <col min="11263" max="11266" width="13.25" style="106" customWidth="1"/>
    <col min="11267" max="11267" width="38.875" style="106" customWidth="1"/>
    <col min="11268" max="11268" width="16.75" style="106" customWidth="1"/>
    <col min="11269" max="11516" width="9" style="106"/>
    <col min="11517" max="11517" width="1.625" style="106" customWidth="1"/>
    <col min="11518" max="11518" width="35" style="106" customWidth="1"/>
    <col min="11519" max="11522" width="13.25" style="106" customWidth="1"/>
    <col min="11523" max="11523" width="38.875" style="106" customWidth="1"/>
    <col min="11524" max="11524" width="16.75" style="106" customWidth="1"/>
    <col min="11525" max="11772" width="9" style="106"/>
    <col min="11773" max="11773" width="1.625" style="106" customWidth="1"/>
    <col min="11774" max="11774" width="35" style="106" customWidth="1"/>
    <col min="11775" max="11778" width="13.25" style="106" customWidth="1"/>
    <col min="11779" max="11779" width="38.875" style="106" customWidth="1"/>
    <col min="11780" max="11780" width="16.75" style="106" customWidth="1"/>
    <col min="11781" max="12028" width="9" style="106"/>
    <col min="12029" max="12029" width="1.625" style="106" customWidth="1"/>
    <col min="12030" max="12030" width="35" style="106" customWidth="1"/>
    <col min="12031" max="12034" width="13.25" style="106" customWidth="1"/>
    <col min="12035" max="12035" width="38.875" style="106" customWidth="1"/>
    <col min="12036" max="12036" width="16.75" style="106" customWidth="1"/>
    <col min="12037" max="12284" width="9" style="106"/>
    <col min="12285" max="12285" width="1.625" style="106" customWidth="1"/>
    <col min="12286" max="12286" width="35" style="106" customWidth="1"/>
    <col min="12287" max="12290" width="13.25" style="106" customWidth="1"/>
    <col min="12291" max="12291" width="38.875" style="106" customWidth="1"/>
    <col min="12292" max="12292" width="16.75" style="106" customWidth="1"/>
    <col min="12293" max="12540" width="9" style="106"/>
    <col min="12541" max="12541" width="1.625" style="106" customWidth="1"/>
    <col min="12542" max="12542" width="35" style="106" customWidth="1"/>
    <col min="12543" max="12546" width="13.25" style="106" customWidth="1"/>
    <col min="12547" max="12547" width="38.875" style="106" customWidth="1"/>
    <col min="12548" max="12548" width="16.75" style="106" customWidth="1"/>
    <col min="12549" max="12796" width="9" style="106"/>
    <col min="12797" max="12797" width="1.625" style="106" customWidth="1"/>
    <col min="12798" max="12798" width="35" style="106" customWidth="1"/>
    <col min="12799" max="12802" width="13.25" style="106" customWidth="1"/>
    <col min="12803" max="12803" width="38.875" style="106" customWidth="1"/>
    <col min="12804" max="12804" width="16.75" style="106" customWidth="1"/>
    <col min="12805" max="13052" width="9" style="106"/>
    <col min="13053" max="13053" width="1.625" style="106" customWidth="1"/>
    <col min="13054" max="13054" width="35" style="106" customWidth="1"/>
    <col min="13055" max="13058" width="13.25" style="106" customWidth="1"/>
    <col min="13059" max="13059" width="38.875" style="106" customWidth="1"/>
    <col min="13060" max="13060" width="16.75" style="106" customWidth="1"/>
    <col min="13061" max="13308" width="9" style="106"/>
    <col min="13309" max="13309" width="1.625" style="106" customWidth="1"/>
    <col min="13310" max="13310" width="35" style="106" customWidth="1"/>
    <col min="13311" max="13314" width="13.25" style="106" customWidth="1"/>
    <col min="13315" max="13315" width="38.875" style="106" customWidth="1"/>
    <col min="13316" max="13316" width="16.75" style="106" customWidth="1"/>
    <col min="13317" max="13564" width="9" style="106"/>
    <col min="13565" max="13565" width="1.625" style="106" customWidth="1"/>
    <col min="13566" max="13566" width="35" style="106" customWidth="1"/>
    <col min="13567" max="13570" width="13.25" style="106" customWidth="1"/>
    <col min="13571" max="13571" width="38.875" style="106" customWidth="1"/>
    <col min="13572" max="13572" width="16.75" style="106" customWidth="1"/>
    <col min="13573" max="13820" width="9" style="106"/>
    <col min="13821" max="13821" width="1.625" style="106" customWidth="1"/>
    <col min="13822" max="13822" width="35" style="106" customWidth="1"/>
    <col min="13823" max="13826" width="13.25" style="106" customWidth="1"/>
    <col min="13827" max="13827" width="38.875" style="106" customWidth="1"/>
    <col min="13828" max="13828" width="16.75" style="106" customWidth="1"/>
    <col min="13829" max="14076" width="9" style="106"/>
    <col min="14077" max="14077" width="1.625" style="106" customWidth="1"/>
    <col min="14078" max="14078" width="35" style="106" customWidth="1"/>
    <col min="14079" max="14082" width="13.25" style="106" customWidth="1"/>
    <col min="14083" max="14083" width="38.875" style="106" customWidth="1"/>
    <col min="14084" max="14084" width="16.75" style="106" customWidth="1"/>
    <col min="14085" max="14332" width="9" style="106"/>
    <col min="14333" max="14333" width="1.625" style="106" customWidth="1"/>
    <col min="14334" max="14334" width="35" style="106" customWidth="1"/>
    <col min="14335" max="14338" width="13.25" style="106" customWidth="1"/>
    <col min="14339" max="14339" width="38.875" style="106" customWidth="1"/>
    <col min="14340" max="14340" width="16.75" style="106" customWidth="1"/>
    <col min="14341" max="14588" width="9" style="106"/>
    <col min="14589" max="14589" width="1.625" style="106" customWidth="1"/>
    <col min="14590" max="14590" width="35" style="106" customWidth="1"/>
    <col min="14591" max="14594" width="13.25" style="106" customWidth="1"/>
    <col min="14595" max="14595" width="38.875" style="106" customWidth="1"/>
    <col min="14596" max="14596" width="16.75" style="106" customWidth="1"/>
    <col min="14597" max="14844" width="9" style="106"/>
    <col min="14845" max="14845" width="1.625" style="106" customWidth="1"/>
    <col min="14846" max="14846" width="35" style="106" customWidth="1"/>
    <col min="14847" max="14850" width="13.25" style="106" customWidth="1"/>
    <col min="14851" max="14851" width="38.875" style="106" customWidth="1"/>
    <col min="14852" max="14852" width="16.75" style="106" customWidth="1"/>
    <col min="14853" max="15100" width="9" style="106"/>
    <col min="15101" max="15101" width="1.625" style="106" customWidth="1"/>
    <col min="15102" max="15102" width="35" style="106" customWidth="1"/>
    <col min="15103" max="15106" width="13.25" style="106" customWidth="1"/>
    <col min="15107" max="15107" width="38.875" style="106" customWidth="1"/>
    <col min="15108" max="15108" width="16.75" style="106" customWidth="1"/>
    <col min="15109" max="15356" width="9" style="106"/>
    <col min="15357" max="15357" width="1.625" style="106" customWidth="1"/>
    <col min="15358" max="15358" width="35" style="106" customWidth="1"/>
    <col min="15359" max="15362" width="13.25" style="106" customWidth="1"/>
    <col min="15363" max="15363" width="38.875" style="106" customWidth="1"/>
    <col min="15364" max="15364" width="16.75" style="106" customWidth="1"/>
    <col min="15365" max="15612" width="9" style="106"/>
    <col min="15613" max="15613" width="1.625" style="106" customWidth="1"/>
    <col min="15614" max="15614" width="35" style="106" customWidth="1"/>
    <col min="15615" max="15618" width="13.25" style="106" customWidth="1"/>
    <col min="15619" max="15619" width="38.875" style="106" customWidth="1"/>
    <col min="15620" max="15620" width="16.75" style="106" customWidth="1"/>
    <col min="15621" max="15868" width="9" style="106"/>
    <col min="15869" max="15869" width="1.625" style="106" customWidth="1"/>
    <col min="15870" max="15870" width="35" style="106" customWidth="1"/>
    <col min="15871" max="15874" width="13.25" style="106" customWidth="1"/>
    <col min="15875" max="15875" width="38.875" style="106" customWidth="1"/>
    <col min="15876" max="15876" width="16.75" style="106" customWidth="1"/>
    <col min="15877" max="16124" width="9" style="106"/>
    <col min="16125" max="16125" width="1.625" style="106" customWidth="1"/>
    <col min="16126" max="16126" width="35" style="106" customWidth="1"/>
    <col min="16127" max="16130" width="13.25" style="106" customWidth="1"/>
    <col min="16131" max="16131" width="38.875" style="106" customWidth="1"/>
    <col min="16132" max="16132" width="16.75" style="106" customWidth="1"/>
    <col min="16133" max="16384" width="9" style="106"/>
  </cols>
  <sheetData>
    <row r="2" spans="2:11" ht="23.25" customHeight="1">
      <c r="B2" s="351" t="s">
        <v>63</v>
      </c>
      <c r="C2" s="351"/>
      <c r="D2" s="351"/>
      <c r="E2" s="351"/>
      <c r="F2" s="351"/>
      <c r="G2" s="351"/>
      <c r="H2" s="351"/>
      <c r="I2" s="351"/>
      <c r="J2" s="351"/>
      <c r="K2" s="351"/>
    </row>
    <row r="3" spans="2:11">
      <c r="B3" s="300" t="s">
        <v>78</v>
      </c>
    </row>
    <row r="4" spans="2:11">
      <c r="B4" s="300" t="s">
        <v>1037</v>
      </c>
    </row>
    <row r="5" spans="2:11">
      <c r="B5" s="300"/>
      <c r="G5" s="301"/>
      <c r="K5" s="106" t="s">
        <v>13</v>
      </c>
    </row>
    <row r="6" spans="2:11">
      <c r="B6" s="344" t="s">
        <v>12</v>
      </c>
      <c r="C6" s="346" t="s">
        <v>6</v>
      </c>
      <c r="D6" s="347"/>
      <c r="E6" s="348"/>
      <c r="F6" s="346" t="s">
        <v>7</v>
      </c>
      <c r="G6" s="347"/>
      <c r="H6" s="348"/>
      <c r="I6" s="302" t="s">
        <v>27</v>
      </c>
      <c r="J6" s="303" t="s">
        <v>27</v>
      </c>
      <c r="K6" s="349" t="s">
        <v>11</v>
      </c>
    </row>
    <row r="7" spans="2:11">
      <c r="B7" s="345"/>
      <c r="C7" s="304" t="s">
        <v>9</v>
      </c>
      <c r="D7" s="305" t="s">
        <v>8</v>
      </c>
      <c r="E7" s="304" t="s">
        <v>10</v>
      </c>
      <c r="F7" s="304" t="s">
        <v>9</v>
      </c>
      <c r="G7" s="305" t="s">
        <v>8</v>
      </c>
      <c r="H7" s="304" t="s">
        <v>10</v>
      </c>
      <c r="I7" s="306"/>
      <c r="J7" s="307" t="s">
        <v>28</v>
      </c>
      <c r="K7" s="350"/>
    </row>
    <row r="8" spans="2:11" ht="19.5" thickBot="1">
      <c r="B8" s="308" t="s">
        <v>0</v>
      </c>
      <c r="C8" s="309"/>
      <c r="D8" s="310"/>
      <c r="E8" s="309">
        <f>+E9+E10+E11+E12+E18</f>
        <v>2972.7933999999996</v>
      </c>
      <c r="F8" s="309"/>
      <c r="G8" s="311"/>
      <c r="H8" s="309">
        <f>+H9+H10+H11+H12+H18</f>
        <v>4790.6413400000001</v>
      </c>
      <c r="I8" s="272">
        <f>+H8-E8</f>
        <v>1817.8479400000006</v>
      </c>
      <c r="J8" s="273">
        <f>+I8*100/H8</f>
        <v>37.945815830996871</v>
      </c>
      <c r="K8" s="312"/>
    </row>
    <row r="9" spans="2:11" ht="19.5" thickTop="1">
      <c r="B9" s="280" t="s">
        <v>29</v>
      </c>
      <c r="C9" s="281" t="s">
        <v>80</v>
      </c>
      <c r="D9" s="282">
        <f>+แผนบุคลากร!D9</f>
        <v>2311</v>
      </c>
      <c r="E9" s="281">
        <f>+แผนบุคลากร!E9</f>
        <v>590.07759999999996</v>
      </c>
      <c r="F9" s="281" t="str">
        <f>+C9</f>
        <v>อัตรา</v>
      </c>
      <c r="G9" s="282">
        <f>+แผนบุคลากร!G9</f>
        <v>2309</v>
      </c>
      <c r="H9" s="281">
        <f>+แผนบุคลากร!H9</f>
        <v>631.06569999999999</v>
      </c>
      <c r="I9" s="283">
        <f>+H9-E9</f>
        <v>40.988100000000031</v>
      </c>
      <c r="J9" s="284">
        <f>+I9*100/H9</f>
        <v>6.4950606569173432</v>
      </c>
      <c r="K9" s="285"/>
    </row>
    <row r="10" spans="2:11">
      <c r="B10" s="286" t="s">
        <v>30</v>
      </c>
      <c r="C10" s="139"/>
      <c r="D10" s="140"/>
      <c r="E10" s="139">
        <f>+แผนบุคลากร!E10+งานตามภารกิจพื่นฐาน!E10+ยุทธศาสตร์!E10</f>
        <v>901.5163</v>
      </c>
      <c r="F10" s="139"/>
      <c r="G10" s="140"/>
      <c r="H10" s="139">
        <f>+แผนบุคลากร!H10+งานตามภารกิจพื่นฐาน!H10+ยุทธศาสตร์!H10</f>
        <v>1323.1166400000002</v>
      </c>
      <c r="I10" s="141">
        <f t="shared" ref="I10:I23" si="0">+H10-E10</f>
        <v>421.60034000000019</v>
      </c>
      <c r="J10" s="142">
        <f t="shared" ref="J10:J23" si="1">+I10*100/H10</f>
        <v>31.864185458358392</v>
      </c>
      <c r="K10" s="343">
        <f>แผนบุคลากร!H8+งานตามภารกิจพื่นฐาน!H8+ยุทธศาสตร์!H8</f>
        <v>4790.6413400000001</v>
      </c>
    </row>
    <row r="11" spans="2:11">
      <c r="B11" s="286" t="s">
        <v>31</v>
      </c>
      <c r="C11" s="139"/>
      <c r="D11" s="140"/>
      <c r="E11" s="139">
        <f>+แผนบุคลากร!E11+งานตามภารกิจพื่นฐาน!E11+ยุทธศาสตร์!E11</f>
        <v>474.81270000000001</v>
      </c>
      <c r="F11" s="139"/>
      <c r="G11" s="140"/>
      <c r="H11" s="139">
        <f>+แผนบุคลากร!H11+งานตามภารกิจพื่นฐาน!H11+ยุทธศาสตร์!H11</f>
        <v>1094.9024999999999</v>
      </c>
      <c r="I11" s="141">
        <f t="shared" si="0"/>
        <v>620.08979999999997</v>
      </c>
      <c r="J11" s="142">
        <f t="shared" si="1"/>
        <v>56.634248254981607</v>
      </c>
      <c r="K11" s="143"/>
    </row>
    <row r="12" spans="2:11">
      <c r="B12" s="286" t="s">
        <v>32</v>
      </c>
      <c r="C12" s="139"/>
      <c r="D12" s="140"/>
      <c r="E12" s="139">
        <f>+E16</f>
        <v>962.2177999999999</v>
      </c>
      <c r="F12" s="139"/>
      <c r="G12" s="140"/>
      <c r="H12" s="139">
        <f>+H16</f>
        <v>1610.17</v>
      </c>
      <c r="I12" s="141">
        <f t="shared" si="0"/>
        <v>647.95220000000018</v>
      </c>
      <c r="J12" s="142">
        <f t="shared" si="1"/>
        <v>40.241229186980263</v>
      </c>
      <c r="K12" s="143"/>
    </row>
    <row r="13" spans="2:11" hidden="1">
      <c r="B13" s="138" t="s">
        <v>72</v>
      </c>
      <c r="C13" s="139"/>
      <c r="D13" s="140"/>
      <c r="E13" s="139"/>
      <c r="F13" s="139"/>
      <c r="G13" s="140"/>
      <c r="H13" s="139"/>
      <c r="I13" s="141"/>
      <c r="J13" s="142"/>
      <c r="K13" s="143"/>
    </row>
    <row r="14" spans="2:11" hidden="1">
      <c r="B14" s="138" t="s">
        <v>33</v>
      </c>
      <c r="C14" s="139"/>
      <c r="D14" s="140"/>
      <c r="E14" s="139"/>
      <c r="F14" s="139"/>
      <c r="G14" s="140"/>
      <c r="H14" s="139"/>
      <c r="I14" s="141"/>
      <c r="J14" s="142"/>
      <c r="K14" s="143" t="s">
        <v>171</v>
      </c>
    </row>
    <row r="15" spans="2:11" hidden="1">
      <c r="B15" s="138" t="s">
        <v>34</v>
      </c>
      <c r="C15" s="139"/>
      <c r="D15" s="140"/>
      <c r="E15" s="139"/>
      <c r="F15" s="139"/>
      <c r="G15" s="140"/>
      <c r="H15" s="139"/>
      <c r="I15" s="141"/>
      <c r="J15" s="142"/>
      <c r="K15" s="143"/>
    </row>
    <row r="16" spans="2:11" hidden="1">
      <c r="B16" s="138" t="s">
        <v>35</v>
      </c>
      <c r="C16" s="139"/>
      <c r="D16" s="140"/>
      <c r="E16" s="139">
        <f>+แผนบุคลากร!E16+งานตามภารกิจพื่นฐาน!E16+ยุทธศาสตร์!E16</f>
        <v>962.2177999999999</v>
      </c>
      <c r="F16" s="139"/>
      <c r="G16" s="140"/>
      <c r="H16" s="139">
        <f>+แผนบุคลากร!H16+งานตามภารกิจพื่นฐาน!H16+ยุทธศาสตร์!H16</f>
        <v>1610.17</v>
      </c>
      <c r="I16" s="141">
        <f t="shared" si="0"/>
        <v>647.95220000000018</v>
      </c>
      <c r="J16" s="142">
        <f t="shared" si="1"/>
        <v>40.241229186980263</v>
      </c>
      <c r="K16" s="143"/>
    </row>
    <row r="17" spans="2:11" hidden="1">
      <c r="B17" s="138" t="s">
        <v>36</v>
      </c>
      <c r="C17" s="139"/>
      <c r="D17" s="140"/>
      <c r="E17" s="139"/>
      <c r="F17" s="139"/>
      <c r="G17" s="140"/>
      <c r="H17" s="139"/>
      <c r="I17" s="141"/>
      <c r="J17" s="142"/>
      <c r="K17" s="143"/>
    </row>
    <row r="18" spans="2:11">
      <c r="B18" s="286" t="s">
        <v>37</v>
      </c>
      <c r="C18" s="139"/>
      <c r="D18" s="140"/>
      <c r="E18" s="139">
        <f>+E23</f>
        <v>44.168999999999997</v>
      </c>
      <c r="F18" s="139"/>
      <c r="G18" s="140"/>
      <c r="H18" s="139">
        <f>+H23</f>
        <v>131.38650000000001</v>
      </c>
      <c r="I18" s="141">
        <f t="shared" si="0"/>
        <v>87.217500000000015</v>
      </c>
      <c r="J18" s="142">
        <f t="shared" si="1"/>
        <v>66.382390884908276</v>
      </c>
      <c r="K18" s="143"/>
    </row>
    <row r="19" spans="2:11" hidden="1">
      <c r="B19" s="138" t="s">
        <v>72</v>
      </c>
      <c r="C19" s="139"/>
      <c r="D19" s="140"/>
      <c r="E19" s="139"/>
      <c r="F19" s="139"/>
      <c r="G19" s="140"/>
      <c r="H19" s="139"/>
      <c r="I19" s="141"/>
      <c r="J19" s="142"/>
      <c r="K19" s="143"/>
    </row>
    <row r="20" spans="2:11" hidden="1">
      <c r="B20" s="138" t="s">
        <v>33</v>
      </c>
      <c r="C20" s="139"/>
      <c r="D20" s="140"/>
      <c r="E20" s="139"/>
      <c r="F20" s="139"/>
      <c r="G20" s="140"/>
      <c r="H20" s="139"/>
      <c r="I20" s="141"/>
      <c r="J20" s="142"/>
      <c r="K20" s="143"/>
    </row>
    <row r="21" spans="2:11" hidden="1">
      <c r="B21" s="138" t="s">
        <v>34</v>
      </c>
      <c r="C21" s="139"/>
      <c r="D21" s="140"/>
      <c r="E21" s="139"/>
      <c r="F21" s="139"/>
      <c r="G21" s="140"/>
      <c r="H21" s="139"/>
      <c r="I21" s="141"/>
      <c r="J21" s="142"/>
      <c r="K21" s="143"/>
    </row>
    <row r="22" spans="2:11" hidden="1">
      <c r="B22" s="138" t="s">
        <v>35</v>
      </c>
      <c r="C22" s="139"/>
      <c r="D22" s="140"/>
      <c r="E22" s="139"/>
      <c r="F22" s="139"/>
      <c r="G22" s="140"/>
      <c r="H22" s="139"/>
      <c r="I22" s="141"/>
      <c r="J22" s="142"/>
      <c r="K22" s="143"/>
    </row>
    <row r="23" spans="2:11" hidden="1">
      <c r="B23" s="270" t="s">
        <v>36</v>
      </c>
      <c r="C23" s="262"/>
      <c r="D23" s="188"/>
      <c r="E23" s="262">
        <f>+แผนบุคลากร!E23+งานตามภารกิจพื่นฐาน!E23+ยุทธศาสตร์!E23</f>
        <v>44.168999999999997</v>
      </c>
      <c r="F23" s="262"/>
      <c r="G23" s="188"/>
      <c r="H23" s="262">
        <f>+แผนบุคลากร!H23+งานตามภารกิจพื่นฐาน!H23+ยุทธศาสตร์!H23</f>
        <v>131.38650000000001</v>
      </c>
      <c r="I23" s="190">
        <f t="shared" si="0"/>
        <v>87.217500000000015</v>
      </c>
      <c r="J23" s="191">
        <f t="shared" si="1"/>
        <v>66.382390884908276</v>
      </c>
      <c r="K23" s="271"/>
    </row>
    <row r="25" spans="2:11">
      <c r="B25" s="300" t="s">
        <v>1038</v>
      </c>
    </row>
    <row r="26" spans="2:11">
      <c r="B26" s="344" t="s">
        <v>12</v>
      </c>
      <c r="C26" s="346" t="s">
        <v>6</v>
      </c>
      <c r="D26" s="347"/>
      <c r="E26" s="348"/>
      <c r="F26" s="346" t="s">
        <v>7</v>
      </c>
      <c r="G26" s="347"/>
      <c r="H26" s="348"/>
      <c r="I26" s="302" t="s">
        <v>27</v>
      </c>
      <c r="J26" s="303" t="s">
        <v>27</v>
      </c>
      <c r="K26" s="349" t="s">
        <v>11</v>
      </c>
    </row>
    <row r="27" spans="2:11">
      <c r="B27" s="345"/>
      <c r="C27" s="304" t="s">
        <v>9</v>
      </c>
      <c r="D27" s="305" t="s">
        <v>8</v>
      </c>
      <c r="E27" s="304" t="s">
        <v>10</v>
      </c>
      <c r="F27" s="304" t="s">
        <v>9</v>
      </c>
      <c r="G27" s="305" t="s">
        <v>8</v>
      </c>
      <c r="H27" s="304" t="s">
        <v>10</v>
      </c>
      <c r="I27" s="341"/>
      <c r="J27" s="342" t="s">
        <v>28</v>
      </c>
      <c r="K27" s="350"/>
    </row>
    <row r="28" spans="2:11" ht="19.5" thickBot="1">
      <c r="B28" s="308" t="s">
        <v>0</v>
      </c>
      <c r="C28" s="309"/>
      <c r="D28" s="310"/>
      <c r="E28" s="309">
        <f>+E38</f>
        <v>75</v>
      </c>
      <c r="F28" s="309"/>
      <c r="G28" s="311"/>
      <c r="H28" s="309">
        <f>+H38</f>
        <v>200</v>
      </c>
      <c r="I28" s="272">
        <f>+H28-E28</f>
        <v>125</v>
      </c>
      <c r="J28" s="273">
        <f>+I28*100/H28</f>
        <v>62.5</v>
      </c>
      <c r="K28" s="312"/>
    </row>
    <row r="29" spans="2:11" ht="19.5" thickTop="1">
      <c r="B29" s="280" t="s">
        <v>29</v>
      </c>
      <c r="C29" s="281"/>
      <c r="D29" s="282"/>
      <c r="E29" s="281" t="s">
        <v>1031</v>
      </c>
      <c r="F29" s="281" t="s">
        <v>1031</v>
      </c>
      <c r="G29" s="281" t="s">
        <v>1031</v>
      </c>
      <c r="H29" s="281" t="s">
        <v>1031</v>
      </c>
      <c r="I29" s="281" t="s">
        <v>1031</v>
      </c>
      <c r="J29" s="281" t="s">
        <v>1031</v>
      </c>
      <c r="K29" s="285" t="s">
        <v>171</v>
      </c>
    </row>
    <row r="30" spans="2:11">
      <c r="B30" s="286" t="s">
        <v>30</v>
      </c>
      <c r="C30" s="139"/>
      <c r="D30" s="140"/>
      <c r="E30" s="139" t="s">
        <v>1031</v>
      </c>
      <c r="F30" s="139"/>
      <c r="G30" s="140"/>
      <c r="H30" s="139" t="s">
        <v>1031</v>
      </c>
      <c r="I30" s="139" t="s">
        <v>1031</v>
      </c>
      <c r="J30" s="139" t="s">
        <v>1031</v>
      </c>
      <c r="K30" s="143"/>
    </row>
    <row r="31" spans="2:11">
      <c r="B31" s="286" t="s">
        <v>31</v>
      </c>
      <c r="C31" s="139"/>
      <c r="D31" s="140"/>
      <c r="E31" s="139" t="s">
        <v>1031</v>
      </c>
      <c r="F31" s="139"/>
      <c r="G31" s="140"/>
      <c r="H31" s="139" t="s">
        <v>1031</v>
      </c>
      <c r="I31" s="139" t="s">
        <v>1031</v>
      </c>
      <c r="J31" s="139" t="s">
        <v>1031</v>
      </c>
      <c r="K31" s="143"/>
    </row>
    <row r="32" spans="2:11">
      <c r="B32" s="286" t="s">
        <v>32</v>
      </c>
      <c r="C32" s="139"/>
      <c r="D32" s="140"/>
      <c r="E32" s="139" t="s">
        <v>1031</v>
      </c>
      <c r="F32" s="139"/>
      <c r="G32" s="140"/>
      <c r="H32" s="139" t="s">
        <v>1031</v>
      </c>
      <c r="I32" s="139" t="s">
        <v>1031</v>
      </c>
      <c r="J32" s="139" t="s">
        <v>1031</v>
      </c>
      <c r="K32" s="143"/>
    </row>
    <row r="33" spans="2:11" hidden="1">
      <c r="B33" s="138" t="s">
        <v>72</v>
      </c>
      <c r="C33" s="139"/>
      <c r="D33" s="140"/>
      <c r="E33" s="139"/>
      <c r="F33" s="139"/>
      <c r="G33" s="140"/>
      <c r="H33" s="139"/>
      <c r="I33" s="141"/>
      <c r="J33" s="142"/>
      <c r="K33" s="143"/>
    </row>
    <row r="34" spans="2:11" hidden="1">
      <c r="B34" s="138" t="s">
        <v>33</v>
      </c>
      <c r="C34" s="139"/>
      <c r="D34" s="140"/>
      <c r="E34" s="139"/>
      <c r="F34" s="139"/>
      <c r="G34" s="140"/>
      <c r="H34" s="139"/>
      <c r="I34" s="141"/>
      <c r="J34" s="142"/>
      <c r="K34" s="143" t="s">
        <v>171</v>
      </c>
    </row>
    <row r="35" spans="2:11" hidden="1">
      <c r="B35" s="138" t="s">
        <v>34</v>
      </c>
      <c r="C35" s="139"/>
      <c r="D35" s="140"/>
      <c r="E35" s="139"/>
      <c r="F35" s="139"/>
      <c r="G35" s="140"/>
      <c r="H35" s="139"/>
      <c r="I35" s="141"/>
      <c r="J35" s="142"/>
      <c r="K35" s="143"/>
    </row>
    <row r="36" spans="2:11" hidden="1">
      <c r="B36" s="138" t="s">
        <v>35</v>
      </c>
      <c r="C36" s="139"/>
      <c r="D36" s="140"/>
      <c r="E36" s="139">
        <f>+แผนบุคลากร!E36+งานตามภารกิจพื่นฐาน!E36+ยุทธศาสตร์!E36</f>
        <v>0</v>
      </c>
      <c r="F36" s="139"/>
      <c r="G36" s="140"/>
      <c r="H36" s="139">
        <f>+แผนบุคลากร!H36+งานตามภารกิจพื่นฐาน!H36+ยุทธศาสตร์!H36</f>
        <v>0</v>
      </c>
      <c r="I36" s="141">
        <f t="shared" ref="I36" si="2">+H36-E36</f>
        <v>0</v>
      </c>
      <c r="J36" s="142" t="e">
        <f t="shared" ref="J36" si="3">+I36*100/H36</f>
        <v>#DIV/0!</v>
      </c>
      <c r="K36" s="143"/>
    </row>
    <row r="37" spans="2:11" hidden="1">
      <c r="B37" s="138" t="s">
        <v>36</v>
      </c>
      <c r="C37" s="139"/>
      <c r="D37" s="140"/>
      <c r="E37" s="139"/>
      <c r="F37" s="139"/>
      <c r="G37" s="140"/>
      <c r="H37" s="139"/>
      <c r="I37" s="141"/>
      <c r="J37" s="142"/>
      <c r="K37" s="143"/>
    </row>
    <row r="38" spans="2:11">
      <c r="B38" s="286" t="s">
        <v>37</v>
      </c>
      <c r="C38" s="139"/>
      <c r="D38" s="140"/>
      <c r="E38" s="139">
        <v>75</v>
      </c>
      <c r="F38" s="139"/>
      <c r="G38" s="140"/>
      <c r="H38" s="139">
        <v>200</v>
      </c>
      <c r="I38" s="141">
        <f t="shared" ref="I38" si="4">+H38-E38</f>
        <v>125</v>
      </c>
      <c r="J38" s="142">
        <f t="shared" ref="J38" si="5">+I38*100/H38</f>
        <v>62.5</v>
      </c>
      <c r="K38" s="143"/>
    </row>
  </sheetData>
  <mergeCells count="9">
    <mergeCell ref="B26:B27"/>
    <mergeCell ref="C26:E26"/>
    <mergeCell ref="F26:H26"/>
    <mergeCell ref="K26:K27"/>
    <mergeCell ref="B2:K2"/>
    <mergeCell ref="B6:B7"/>
    <mergeCell ref="C6:E6"/>
    <mergeCell ref="F6:H6"/>
    <mergeCell ref="K6:K7"/>
  </mergeCells>
  <pageMargins left="0.25" right="0.2" top="0.33" bottom="0.32" header="0.18" footer="0.24"/>
  <pageSetup paperSize="9" scale="80" fitToHeight="0" orientation="landscape" useFirstPageNumber="1" r:id="rId1"/>
  <headerFooter differentFirst="1">
    <oddHeader>&amp;C&amp;"TH SarabunPSK,ธรรมดา"&amp;16&amp;P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S1618"/>
  <sheetViews>
    <sheetView zoomScale="80" zoomScaleNormal="80" zoomScalePageLayoutView="110" workbookViewId="0">
      <pane xSplit="2" ySplit="8" topLeftCell="C48" activePane="bottomRight" state="frozen"/>
      <selection pane="topRight" activeCell="C1" sqref="C1"/>
      <selection pane="bottomLeft" activeCell="A9" sqref="A9"/>
      <selection pane="bottomRight" activeCell="A53" sqref="A53:XFD53"/>
    </sheetView>
  </sheetViews>
  <sheetFormatPr defaultRowHeight="18.75"/>
  <cols>
    <col min="1" max="1" width="1.625" style="106" customWidth="1"/>
    <col min="2" max="2" width="36.25" style="287" customWidth="1"/>
    <col min="3" max="3" width="7.25" style="288" customWidth="1"/>
    <col min="4" max="4" width="7.25" style="289" customWidth="1"/>
    <col min="5" max="5" width="10.375" style="288" customWidth="1"/>
    <col min="6" max="6" width="7.125" style="288" customWidth="1"/>
    <col min="7" max="7" width="7.625" style="289" customWidth="1"/>
    <col min="8" max="8" width="10.25" style="288" customWidth="1"/>
    <col min="9" max="9" width="9.5" style="290" customWidth="1"/>
    <col min="10" max="10" width="7" style="291" customWidth="1"/>
    <col min="11" max="11" width="38.25" style="106" customWidth="1"/>
    <col min="12" max="12" width="10.375" style="105" customWidth="1"/>
    <col min="13" max="13" width="9.625" style="105" bestFit="1" customWidth="1"/>
    <col min="14" max="14" width="10.875" style="106" bestFit="1" customWidth="1"/>
    <col min="15" max="252" width="9" style="106"/>
    <col min="253" max="253" width="1.625" style="106" customWidth="1"/>
    <col min="254" max="254" width="35" style="106" customWidth="1"/>
    <col min="255" max="258" width="13.25" style="106" customWidth="1"/>
    <col min="259" max="259" width="38.875" style="106" customWidth="1"/>
    <col min="260" max="260" width="16.75" style="106" customWidth="1"/>
    <col min="261" max="508" width="9" style="106"/>
    <col min="509" max="509" width="1.625" style="106" customWidth="1"/>
    <col min="510" max="510" width="35" style="106" customWidth="1"/>
    <col min="511" max="514" width="13.25" style="106" customWidth="1"/>
    <col min="515" max="515" width="38.875" style="106" customWidth="1"/>
    <col min="516" max="516" width="16.75" style="106" customWidth="1"/>
    <col min="517" max="764" width="9" style="106"/>
    <col min="765" max="765" width="1.625" style="106" customWidth="1"/>
    <col min="766" max="766" width="35" style="106" customWidth="1"/>
    <col min="767" max="770" width="13.25" style="106" customWidth="1"/>
    <col min="771" max="771" width="38.875" style="106" customWidth="1"/>
    <col min="772" max="772" width="16.75" style="106" customWidth="1"/>
    <col min="773" max="1020" width="9" style="106"/>
    <col min="1021" max="1021" width="1.625" style="106" customWidth="1"/>
    <col min="1022" max="1022" width="35" style="106" customWidth="1"/>
    <col min="1023" max="1026" width="13.25" style="106" customWidth="1"/>
    <col min="1027" max="1027" width="38.875" style="106" customWidth="1"/>
    <col min="1028" max="1028" width="16.75" style="106" customWidth="1"/>
    <col min="1029" max="1276" width="9" style="106"/>
    <col min="1277" max="1277" width="1.625" style="106" customWidth="1"/>
    <col min="1278" max="1278" width="35" style="106" customWidth="1"/>
    <col min="1279" max="1282" width="13.25" style="106" customWidth="1"/>
    <col min="1283" max="1283" width="38.875" style="106" customWidth="1"/>
    <col min="1284" max="1284" width="16.75" style="106" customWidth="1"/>
    <col min="1285" max="1532" width="9" style="106"/>
    <col min="1533" max="1533" width="1.625" style="106" customWidth="1"/>
    <col min="1534" max="1534" width="35" style="106" customWidth="1"/>
    <col min="1535" max="1538" width="13.25" style="106" customWidth="1"/>
    <col min="1539" max="1539" width="38.875" style="106" customWidth="1"/>
    <col min="1540" max="1540" width="16.75" style="106" customWidth="1"/>
    <col min="1541" max="1788" width="9" style="106"/>
    <col min="1789" max="1789" width="1.625" style="106" customWidth="1"/>
    <col min="1790" max="1790" width="35" style="106" customWidth="1"/>
    <col min="1791" max="1794" width="13.25" style="106" customWidth="1"/>
    <col min="1795" max="1795" width="38.875" style="106" customWidth="1"/>
    <col min="1796" max="1796" width="16.75" style="106" customWidth="1"/>
    <col min="1797" max="2044" width="9" style="106"/>
    <col min="2045" max="2045" width="1.625" style="106" customWidth="1"/>
    <col min="2046" max="2046" width="35" style="106" customWidth="1"/>
    <col min="2047" max="2050" width="13.25" style="106" customWidth="1"/>
    <col min="2051" max="2051" width="38.875" style="106" customWidth="1"/>
    <col min="2052" max="2052" width="16.75" style="106" customWidth="1"/>
    <col min="2053" max="2300" width="9" style="106"/>
    <col min="2301" max="2301" width="1.625" style="106" customWidth="1"/>
    <col min="2302" max="2302" width="35" style="106" customWidth="1"/>
    <col min="2303" max="2306" width="13.25" style="106" customWidth="1"/>
    <col min="2307" max="2307" width="38.875" style="106" customWidth="1"/>
    <col min="2308" max="2308" width="16.75" style="106" customWidth="1"/>
    <col min="2309" max="2556" width="9" style="106"/>
    <col min="2557" max="2557" width="1.625" style="106" customWidth="1"/>
    <col min="2558" max="2558" width="35" style="106" customWidth="1"/>
    <col min="2559" max="2562" width="13.25" style="106" customWidth="1"/>
    <col min="2563" max="2563" width="38.875" style="106" customWidth="1"/>
    <col min="2564" max="2564" width="16.75" style="106" customWidth="1"/>
    <col min="2565" max="2812" width="9" style="106"/>
    <col min="2813" max="2813" width="1.625" style="106" customWidth="1"/>
    <col min="2814" max="2814" width="35" style="106" customWidth="1"/>
    <col min="2815" max="2818" width="13.25" style="106" customWidth="1"/>
    <col min="2819" max="2819" width="38.875" style="106" customWidth="1"/>
    <col min="2820" max="2820" width="16.75" style="106" customWidth="1"/>
    <col min="2821" max="3068" width="9" style="106"/>
    <col min="3069" max="3069" width="1.625" style="106" customWidth="1"/>
    <col min="3070" max="3070" width="35" style="106" customWidth="1"/>
    <col min="3071" max="3074" width="13.25" style="106" customWidth="1"/>
    <col min="3075" max="3075" width="38.875" style="106" customWidth="1"/>
    <col min="3076" max="3076" width="16.75" style="106" customWidth="1"/>
    <col min="3077" max="3324" width="9" style="106"/>
    <col min="3325" max="3325" width="1.625" style="106" customWidth="1"/>
    <col min="3326" max="3326" width="35" style="106" customWidth="1"/>
    <col min="3327" max="3330" width="13.25" style="106" customWidth="1"/>
    <col min="3331" max="3331" width="38.875" style="106" customWidth="1"/>
    <col min="3332" max="3332" width="16.75" style="106" customWidth="1"/>
    <col min="3333" max="3580" width="9" style="106"/>
    <col min="3581" max="3581" width="1.625" style="106" customWidth="1"/>
    <col min="3582" max="3582" width="35" style="106" customWidth="1"/>
    <col min="3583" max="3586" width="13.25" style="106" customWidth="1"/>
    <col min="3587" max="3587" width="38.875" style="106" customWidth="1"/>
    <col min="3588" max="3588" width="16.75" style="106" customWidth="1"/>
    <col min="3589" max="3836" width="9" style="106"/>
    <col min="3837" max="3837" width="1.625" style="106" customWidth="1"/>
    <col min="3838" max="3838" width="35" style="106" customWidth="1"/>
    <col min="3839" max="3842" width="13.25" style="106" customWidth="1"/>
    <col min="3843" max="3843" width="38.875" style="106" customWidth="1"/>
    <col min="3844" max="3844" width="16.75" style="106" customWidth="1"/>
    <col min="3845" max="4092" width="9" style="106"/>
    <col min="4093" max="4093" width="1.625" style="106" customWidth="1"/>
    <col min="4094" max="4094" width="35" style="106" customWidth="1"/>
    <col min="4095" max="4098" width="13.25" style="106" customWidth="1"/>
    <col min="4099" max="4099" width="38.875" style="106" customWidth="1"/>
    <col min="4100" max="4100" width="16.75" style="106" customWidth="1"/>
    <col min="4101" max="4348" width="9" style="106"/>
    <col min="4349" max="4349" width="1.625" style="106" customWidth="1"/>
    <col min="4350" max="4350" width="35" style="106" customWidth="1"/>
    <col min="4351" max="4354" width="13.25" style="106" customWidth="1"/>
    <col min="4355" max="4355" width="38.875" style="106" customWidth="1"/>
    <col min="4356" max="4356" width="16.75" style="106" customWidth="1"/>
    <col min="4357" max="4604" width="9" style="106"/>
    <col min="4605" max="4605" width="1.625" style="106" customWidth="1"/>
    <col min="4606" max="4606" width="35" style="106" customWidth="1"/>
    <col min="4607" max="4610" width="13.25" style="106" customWidth="1"/>
    <col min="4611" max="4611" width="38.875" style="106" customWidth="1"/>
    <col min="4612" max="4612" width="16.75" style="106" customWidth="1"/>
    <col min="4613" max="4860" width="9" style="106"/>
    <col min="4861" max="4861" width="1.625" style="106" customWidth="1"/>
    <col min="4862" max="4862" width="35" style="106" customWidth="1"/>
    <col min="4863" max="4866" width="13.25" style="106" customWidth="1"/>
    <col min="4867" max="4867" width="38.875" style="106" customWidth="1"/>
    <col min="4868" max="4868" width="16.75" style="106" customWidth="1"/>
    <col min="4869" max="5116" width="9" style="106"/>
    <col min="5117" max="5117" width="1.625" style="106" customWidth="1"/>
    <col min="5118" max="5118" width="35" style="106" customWidth="1"/>
    <col min="5119" max="5122" width="13.25" style="106" customWidth="1"/>
    <col min="5123" max="5123" width="38.875" style="106" customWidth="1"/>
    <col min="5124" max="5124" width="16.75" style="106" customWidth="1"/>
    <col min="5125" max="5372" width="9" style="106"/>
    <col min="5373" max="5373" width="1.625" style="106" customWidth="1"/>
    <col min="5374" max="5374" width="35" style="106" customWidth="1"/>
    <col min="5375" max="5378" width="13.25" style="106" customWidth="1"/>
    <col min="5379" max="5379" width="38.875" style="106" customWidth="1"/>
    <col min="5380" max="5380" width="16.75" style="106" customWidth="1"/>
    <col min="5381" max="5628" width="9" style="106"/>
    <col min="5629" max="5629" width="1.625" style="106" customWidth="1"/>
    <col min="5630" max="5630" width="35" style="106" customWidth="1"/>
    <col min="5631" max="5634" width="13.25" style="106" customWidth="1"/>
    <col min="5635" max="5635" width="38.875" style="106" customWidth="1"/>
    <col min="5636" max="5636" width="16.75" style="106" customWidth="1"/>
    <col min="5637" max="5884" width="9" style="106"/>
    <col min="5885" max="5885" width="1.625" style="106" customWidth="1"/>
    <col min="5886" max="5886" width="35" style="106" customWidth="1"/>
    <col min="5887" max="5890" width="13.25" style="106" customWidth="1"/>
    <col min="5891" max="5891" width="38.875" style="106" customWidth="1"/>
    <col min="5892" max="5892" width="16.75" style="106" customWidth="1"/>
    <col min="5893" max="6140" width="9" style="106"/>
    <col min="6141" max="6141" width="1.625" style="106" customWidth="1"/>
    <col min="6142" max="6142" width="35" style="106" customWidth="1"/>
    <col min="6143" max="6146" width="13.25" style="106" customWidth="1"/>
    <col min="6147" max="6147" width="38.875" style="106" customWidth="1"/>
    <col min="6148" max="6148" width="16.75" style="106" customWidth="1"/>
    <col min="6149" max="6396" width="9" style="106"/>
    <col min="6397" max="6397" width="1.625" style="106" customWidth="1"/>
    <col min="6398" max="6398" width="35" style="106" customWidth="1"/>
    <col min="6399" max="6402" width="13.25" style="106" customWidth="1"/>
    <col min="6403" max="6403" width="38.875" style="106" customWidth="1"/>
    <col min="6404" max="6404" width="16.75" style="106" customWidth="1"/>
    <col min="6405" max="6652" width="9" style="106"/>
    <col min="6653" max="6653" width="1.625" style="106" customWidth="1"/>
    <col min="6654" max="6654" width="35" style="106" customWidth="1"/>
    <col min="6655" max="6658" width="13.25" style="106" customWidth="1"/>
    <col min="6659" max="6659" width="38.875" style="106" customWidth="1"/>
    <col min="6660" max="6660" width="16.75" style="106" customWidth="1"/>
    <col min="6661" max="6908" width="9" style="106"/>
    <col min="6909" max="6909" width="1.625" style="106" customWidth="1"/>
    <col min="6910" max="6910" width="35" style="106" customWidth="1"/>
    <col min="6911" max="6914" width="13.25" style="106" customWidth="1"/>
    <col min="6915" max="6915" width="38.875" style="106" customWidth="1"/>
    <col min="6916" max="6916" width="16.75" style="106" customWidth="1"/>
    <col min="6917" max="7164" width="9" style="106"/>
    <col min="7165" max="7165" width="1.625" style="106" customWidth="1"/>
    <col min="7166" max="7166" width="35" style="106" customWidth="1"/>
    <col min="7167" max="7170" width="13.25" style="106" customWidth="1"/>
    <col min="7171" max="7171" width="38.875" style="106" customWidth="1"/>
    <col min="7172" max="7172" width="16.75" style="106" customWidth="1"/>
    <col min="7173" max="7420" width="9" style="106"/>
    <col min="7421" max="7421" width="1.625" style="106" customWidth="1"/>
    <col min="7422" max="7422" width="35" style="106" customWidth="1"/>
    <col min="7423" max="7426" width="13.25" style="106" customWidth="1"/>
    <col min="7427" max="7427" width="38.875" style="106" customWidth="1"/>
    <col min="7428" max="7428" width="16.75" style="106" customWidth="1"/>
    <col min="7429" max="7676" width="9" style="106"/>
    <col min="7677" max="7677" width="1.625" style="106" customWidth="1"/>
    <col min="7678" max="7678" width="35" style="106" customWidth="1"/>
    <col min="7679" max="7682" width="13.25" style="106" customWidth="1"/>
    <col min="7683" max="7683" width="38.875" style="106" customWidth="1"/>
    <col min="7684" max="7684" width="16.75" style="106" customWidth="1"/>
    <col min="7685" max="7932" width="9" style="106"/>
    <col min="7933" max="7933" width="1.625" style="106" customWidth="1"/>
    <col min="7934" max="7934" width="35" style="106" customWidth="1"/>
    <col min="7935" max="7938" width="13.25" style="106" customWidth="1"/>
    <col min="7939" max="7939" width="38.875" style="106" customWidth="1"/>
    <col min="7940" max="7940" width="16.75" style="106" customWidth="1"/>
    <col min="7941" max="8188" width="9" style="106"/>
    <col min="8189" max="8189" width="1.625" style="106" customWidth="1"/>
    <col min="8190" max="8190" width="35" style="106" customWidth="1"/>
    <col min="8191" max="8194" width="13.25" style="106" customWidth="1"/>
    <col min="8195" max="8195" width="38.875" style="106" customWidth="1"/>
    <col min="8196" max="8196" width="16.75" style="106" customWidth="1"/>
    <col min="8197" max="8444" width="9" style="106"/>
    <col min="8445" max="8445" width="1.625" style="106" customWidth="1"/>
    <col min="8446" max="8446" width="35" style="106" customWidth="1"/>
    <col min="8447" max="8450" width="13.25" style="106" customWidth="1"/>
    <col min="8451" max="8451" width="38.875" style="106" customWidth="1"/>
    <col min="8452" max="8452" width="16.75" style="106" customWidth="1"/>
    <col min="8453" max="8700" width="9" style="106"/>
    <col min="8701" max="8701" width="1.625" style="106" customWidth="1"/>
    <col min="8702" max="8702" width="35" style="106" customWidth="1"/>
    <col min="8703" max="8706" width="13.25" style="106" customWidth="1"/>
    <col min="8707" max="8707" width="38.875" style="106" customWidth="1"/>
    <col min="8708" max="8708" width="16.75" style="106" customWidth="1"/>
    <col min="8709" max="8956" width="9" style="106"/>
    <col min="8957" max="8957" width="1.625" style="106" customWidth="1"/>
    <col min="8958" max="8958" width="35" style="106" customWidth="1"/>
    <col min="8959" max="8962" width="13.25" style="106" customWidth="1"/>
    <col min="8963" max="8963" width="38.875" style="106" customWidth="1"/>
    <col min="8964" max="8964" width="16.75" style="106" customWidth="1"/>
    <col min="8965" max="9212" width="9" style="106"/>
    <col min="9213" max="9213" width="1.625" style="106" customWidth="1"/>
    <col min="9214" max="9214" width="35" style="106" customWidth="1"/>
    <col min="9215" max="9218" width="13.25" style="106" customWidth="1"/>
    <col min="9219" max="9219" width="38.875" style="106" customWidth="1"/>
    <col min="9220" max="9220" width="16.75" style="106" customWidth="1"/>
    <col min="9221" max="9468" width="9" style="106"/>
    <col min="9469" max="9469" width="1.625" style="106" customWidth="1"/>
    <col min="9470" max="9470" width="35" style="106" customWidth="1"/>
    <col min="9471" max="9474" width="13.25" style="106" customWidth="1"/>
    <col min="9475" max="9475" width="38.875" style="106" customWidth="1"/>
    <col min="9476" max="9476" width="16.75" style="106" customWidth="1"/>
    <col min="9477" max="9724" width="9" style="106"/>
    <col min="9725" max="9725" width="1.625" style="106" customWidth="1"/>
    <col min="9726" max="9726" width="35" style="106" customWidth="1"/>
    <col min="9727" max="9730" width="13.25" style="106" customWidth="1"/>
    <col min="9731" max="9731" width="38.875" style="106" customWidth="1"/>
    <col min="9732" max="9732" width="16.75" style="106" customWidth="1"/>
    <col min="9733" max="9980" width="9" style="106"/>
    <col min="9981" max="9981" width="1.625" style="106" customWidth="1"/>
    <col min="9982" max="9982" width="35" style="106" customWidth="1"/>
    <col min="9983" max="9986" width="13.25" style="106" customWidth="1"/>
    <col min="9987" max="9987" width="38.875" style="106" customWidth="1"/>
    <col min="9988" max="9988" width="16.75" style="106" customWidth="1"/>
    <col min="9989" max="10236" width="9" style="106"/>
    <col min="10237" max="10237" width="1.625" style="106" customWidth="1"/>
    <col min="10238" max="10238" width="35" style="106" customWidth="1"/>
    <col min="10239" max="10242" width="13.25" style="106" customWidth="1"/>
    <col min="10243" max="10243" width="38.875" style="106" customWidth="1"/>
    <col min="10244" max="10244" width="16.75" style="106" customWidth="1"/>
    <col min="10245" max="10492" width="9" style="106"/>
    <col min="10493" max="10493" width="1.625" style="106" customWidth="1"/>
    <col min="10494" max="10494" width="35" style="106" customWidth="1"/>
    <col min="10495" max="10498" width="13.25" style="106" customWidth="1"/>
    <col min="10499" max="10499" width="38.875" style="106" customWidth="1"/>
    <col min="10500" max="10500" width="16.75" style="106" customWidth="1"/>
    <col min="10501" max="10748" width="9" style="106"/>
    <col min="10749" max="10749" width="1.625" style="106" customWidth="1"/>
    <col min="10750" max="10750" width="35" style="106" customWidth="1"/>
    <col min="10751" max="10754" width="13.25" style="106" customWidth="1"/>
    <col min="10755" max="10755" width="38.875" style="106" customWidth="1"/>
    <col min="10756" max="10756" width="16.75" style="106" customWidth="1"/>
    <col min="10757" max="11004" width="9" style="106"/>
    <col min="11005" max="11005" width="1.625" style="106" customWidth="1"/>
    <col min="11006" max="11006" width="35" style="106" customWidth="1"/>
    <col min="11007" max="11010" width="13.25" style="106" customWidth="1"/>
    <col min="11011" max="11011" width="38.875" style="106" customWidth="1"/>
    <col min="11012" max="11012" width="16.75" style="106" customWidth="1"/>
    <col min="11013" max="11260" width="9" style="106"/>
    <col min="11261" max="11261" width="1.625" style="106" customWidth="1"/>
    <col min="11262" max="11262" width="35" style="106" customWidth="1"/>
    <col min="11263" max="11266" width="13.25" style="106" customWidth="1"/>
    <col min="11267" max="11267" width="38.875" style="106" customWidth="1"/>
    <col min="11268" max="11268" width="16.75" style="106" customWidth="1"/>
    <col min="11269" max="11516" width="9" style="106"/>
    <col min="11517" max="11517" width="1.625" style="106" customWidth="1"/>
    <col min="11518" max="11518" width="35" style="106" customWidth="1"/>
    <col min="11519" max="11522" width="13.25" style="106" customWidth="1"/>
    <col min="11523" max="11523" width="38.875" style="106" customWidth="1"/>
    <col min="11524" max="11524" width="16.75" style="106" customWidth="1"/>
    <col min="11525" max="11772" width="9" style="106"/>
    <col min="11773" max="11773" width="1.625" style="106" customWidth="1"/>
    <col min="11774" max="11774" width="35" style="106" customWidth="1"/>
    <col min="11775" max="11778" width="13.25" style="106" customWidth="1"/>
    <col min="11779" max="11779" width="38.875" style="106" customWidth="1"/>
    <col min="11780" max="11780" width="16.75" style="106" customWidth="1"/>
    <col min="11781" max="12028" width="9" style="106"/>
    <col min="12029" max="12029" width="1.625" style="106" customWidth="1"/>
    <col min="12030" max="12030" width="35" style="106" customWidth="1"/>
    <col min="12031" max="12034" width="13.25" style="106" customWidth="1"/>
    <col min="12035" max="12035" width="38.875" style="106" customWidth="1"/>
    <col min="12036" max="12036" width="16.75" style="106" customWidth="1"/>
    <col min="12037" max="12284" width="9" style="106"/>
    <col min="12285" max="12285" width="1.625" style="106" customWidth="1"/>
    <col min="12286" max="12286" width="35" style="106" customWidth="1"/>
    <col min="12287" max="12290" width="13.25" style="106" customWidth="1"/>
    <col min="12291" max="12291" width="38.875" style="106" customWidth="1"/>
    <col min="12292" max="12292" width="16.75" style="106" customWidth="1"/>
    <col min="12293" max="12540" width="9" style="106"/>
    <col min="12541" max="12541" width="1.625" style="106" customWidth="1"/>
    <col min="12542" max="12542" width="35" style="106" customWidth="1"/>
    <col min="12543" max="12546" width="13.25" style="106" customWidth="1"/>
    <col min="12547" max="12547" width="38.875" style="106" customWidth="1"/>
    <col min="12548" max="12548" width="16.75" style="106" customWidth="1"/>
    <col min="12549" max="12796" width="9" style="106"/>
    <col min="12797" max="12797" width="1.625" style="106" customWidth="1"/>
    <col min="12798" max="12798" width="35" style="106" customWidth="1"/>
    <col min="12799" max="12802" width="13.25" style="106" customWidth="1"/>
    <col min="12803" max="12803" width="38.875" style="106" customWidth="1"/>
    <col min="12804" max="12804" width="16.75" style="106" customWidth="1"/>
    <col min="12805" max="13052" width="9" style="106"/>
    <col min="13053" max="13053" width="1.625" style="106" customWidth="1"/>
    <col min="13054" max="13054" width="35" style="106" customWidth="1"/>
    <col min="13055" max="13058" width="13.25" style="106" customWidth="1"/>
    <col min="13059" max="13059" width="38.875" style="106" customWidth="1"/>
    <col min="13060" max="13060" width="16.75" style="106" customWidth="1"/>
    <col min="13061" max="13308" width="9" style="106"/>
    <col min="13309" max="13309" width="1.625" style="106" customWidth="1"/>
    <col min="13310" max="13310" width="35" style="106" customWidth="1"/>
    <col min="13311" max="13314" width="13.25" style="106" customWidth="1"/>
    <col min="13315" max="13315" width="38.875" style="106" customWidth="1"/>
    <col min="13316" max="13316" width="16.75" style="106" customWidth="1"/>
    <col min="13317" max="13564" width="9" style="106"/>
    <col min="13565" max="13565" width="1.625" style="106" customWidth="1"/>
    <col min="13566" max="13566" width="35" style="106" customWidth="1"/>
    <col min="13567" max="13570" width="13.25" style="106" customWidth="1"/>
    <col min="13571" max="13571" width="38.875" style="106" customWidth="1"/>
    <col min="13572" max="13572" width="16.75" style="106" customWidth="1"/>
    <col min="13573" max="13820" width="9" style="106"/>
    <col min="13821" max="13821" width="1.625" style="106" customWidth="1"/>
    <col min="13822" max="13822" width="35" style="106" customWidth="1"/>
    <col min="13823" max="13826" width="13.25" style="106" customWidth="1"/>
    <col min="13827" max="13827" width="38.875" style="106" customWidth="1"/>
    <col min="13828" max="13828" width="16.75" style="106" customWidth="1"/>
    <col min="13829" max="14076" width="9" style="106"/>
    <col min="14077" max="14077" width="1.625" style="106" customWidth="1"/>
    <col min="14078" max="14078" width="35" style="106" customWidth="1"/>
    <col min="14079" max="14082" width="13.25" style="106" customWidth="1"/>
    <col min="14083" max="14083" width="38.875" style="106" customWidth="1"/>
    <col min="14084" max="14084" width="16.75" style="106" customWidth="1"/>
    <col min="14085" max="14332" width="9" style="106"/>
    <col min="14333" max="14333" width="1.625" style="106" customWidth="1"/>
    <col min="14334" max="14334" width="35" style="106" customWidth="1"/>
    <col min="14335" max="14338" width="13.25" style="106" customWidth="1"/>
    <col min="14339" max="14339" width="38.875" style="106" customWidth="1"/>
    <col min="14340" max="14340" width="16.75" style="106" customWidth="1"/>
    <col min="14341" max="14588" width="9" style="106"/>
    <col min="14589" max="14589" width="1.625" style="106" customWidth="1"/>
    <col min="14590" max="14590" width="35" style="106" customWidth="1"/>
    <col min="14591" max="14594" width="13.25" style="106" customWidth="1"/>
    <col min="14595" max="14595" width="38.875" style="106" customWidth="1"/>
    <col min="14596" max="14596" width="16.75" style="106" customWidth="1"/>
    <col min="14597" max="14844" width="9" style="106"/>
    <col min="14845" max="14845" width="1.625" style="106" customWidth="1"/>
    <col min="14846" max="14846" width="35" style="106" customWidth="1"/>
    <col min="14847" max="14850" width="13.25" style="106" customWidth="1"/>
    <col min="14851" max="14851" width="38.875" style="106" customWidth="1"/>
    <col min="14852" max="14852" width="16.75" style="106" customWidth="1"/>
    <col min="14853" max="15100" width="9" style="106"/>
    <col min="15101" max="15101" width="1.625" style="106" customWidth="1"/>
    <col min="15102" max="15102" width="35" style="106" customWidth="1"/>
    <col min="15103" max="15106" width="13.25" style="106" customWidth="1"/>
    <col min="15107" max="15107" width="38.875" style="106" customWidth="1"/>
    <col min="15108" max="15108" width="16.75" style="106" customWidth="1"/>
    <col min="15109" max="15356" width="9" style="106"/>
    <col min="15357" max="15357" width="1.625" style="106" customWidth="1"/>
    <col min="15358" max="15358" width="35" style="106" customWidth="1"/>
    <col min="15359" max="15362" width="13.25" style="106" customWidth="1"/>
    <col min="15363" max="15363" width="38.875" style="106" customWidth="1"/>
    <col min="15364" max="15364" width="16.75" style="106" customWidth="1"/>
    <col min="15365" max="15612" width="9" style="106"/>
    <col min="15613" max="15613" width="1.625" style="106" customWidth="1"/>
    <col min="15614" max="15614" width="35" style="106" customWidth="1"/>
    <col min="15615" max="15618" width="13.25" style="106" customWidth="1"/>
    <col min="15619" max="15619" width="38.875" style="106" customWidth="1"/>
    <col min="15620" max="15620" width="16.75" style="106" customWidth="1"/>
    <col min="15621" max="15868" width="9" style="106"/>
    <col min="15869" max="15869" width="1.625" style="106" customWidth="1"/>
    <col min="15870" max="15870" width="35" style="106" customWidth="1"/>
    <col min="15871" max="15874" width="13.25" style="106" customWidth="1"/>
    <col min="15875" max="15875" width="38.875" style="106" customWidth="1"/>
    <col min="15876" max="15876" width="16.75" style="106" customWidth="1"/>
    <col min="15877" max="16124" width="9" style="106"/>
    <col min="16125" max="16125" width="1.625" style="106" customWidth="1"/>
    <col min="16126" max="16126" width="35" style="106" customWidth="1"/>
    <col min="16127" max="16130" width="13.25" style="106" customWidth="1"/>
    <col min="16131" max="16131" width="38.875" style="106" customWidth="1"/>
    <col min="16132" max="16132" width="16.75" style="106" customWidth="1"/>
    <col min="16133" max="16384" width="9" style="106"/>
  </cols>
  <sheetData>
    <row r="2" spans="2:11" s="105" customFormat="1" ht="23.25" customHeight="1">
      <c r="B2" s="351" t="s">
        <v>63</v>
      </c>
      <c r="C2" s="351"/>
      <c r="D2" s="351"/>
      <c r="E2" s="351"/>
      <c r="F2" s="351"/>
      <c r="G2" s="351"/>
      <c r="H2" s="351"/>
      <c r="I2" s="351"/>
      <c r="J2" s="351"/>
      <c r="K2" s="351"/>
    </row>
    <row r="3" spans="2:11" s="105" customFormat="1">
      <c r="B3" s="300" t="s">
        <v>78</v>
      </c>
      <c r="C3" s="288"/>
      <c r="D3" s="289"/>
      <c r="E3" s="288"/>
      <c r="F3" s="288"/>
      <c r="G3" s="289"/>
      <c r="H3" s="288"/>
      <c r="I3" s="290"/>
      <c r="J3" s="291"/>
      <c r="K3" s="106"/>
    </row>
    <row r="4" spans="2:11" s="105" customFormat="1">
      <c r="B4" s="300" t="s">
        <v>1037</v>
      </c>
      <c r="C4" s="288"/>
      <c r="D4" s="289"/>
      <c r="E4" s="288"/>
      <c r="F4" s="288"/>
      <c r="G4" s="289"/>
      <c r="H4" s="288"/>
      <c r="I4" s="290"/>
      <c r="J4" s="291"/>
      <c r="K4" s="106"/>
    </row>
    <row r="5" spans="2:11" s="105" customFormat="1">
      <c r="B5" s="300"/>
      <c r="C5" s="288"/>
      <c r="D5" s="289"/>
      <c r="E5" s="288"/>
      <c r="F5" s="288"/>
      <c r="G5" s="301"/>
      <c r="H5" s="288"/>
      <c r="I5" s="290"/>
      <c r="J5" s="291"/>
      <c r="K5" s="106" t="s">
        <v>13</v>
      </c>
    </row>
    <row r="6" spans="2:11" s="105" customFormat="1">
      <c r="B6" s="344" t="s">
        <v>12</v>
      </c>
      <c r="C6" s="346" t="s">
        <v>6</v>
      </c>
      <c r="D6" s="347"/>
      <c r="E6" s="348"/>
      <c r="F6" s="346" t="s">
        <v>7</v>
      </c>
      <c r="G6" s="347"/>
      <c r="H6" s="348"/>
      <c r="I6" s="302" t="s">
        <v>27</v>
      </c>
      <c r="J6" s="303" t="s">
        <v>27</v>
      </c>
      <c r="K6" s="349" t="s">
        <v>11</v>
      </c>
    </row>
    <row r="7" spans="2:11" s="105" customFormat="1">
      <c r="B7" s="345"/>
      <c r="C7" s="304" t="s">
        <v>9</v>
      </c>
      <c r="D7" s="305" t="s">
        <v>8</v>
      </c>
      <c r="E7" s="304" t="s">
        <v>10</v>
      </c>
      <c r="F7" s="304" t="s">
        <v>9</v>
      </c>
      <c r="G7" s="305" t="s">
        <v>8</v>
      </c>
      <c r="H7" s="304" t="s">
        <v>10</v>
      </c>
      <c r="I7" s="306"/>
      <c r="J7" s="307" t="s">
        <v>28</v>
      </c>
      <c r="K7" s="350"/>
    </row>
    <row r="8" spans="2:11" s="105" customFormat="1" ht="19.5" thickBot="1">
      <c r="B8" s="308" t="s">
        <v>0</v>
      </c>
      <c r="C8" s="309"/>
      <c r="D8" s="310"/>
      <c r="E8" s="309">
        <f>+E9+E10+E11+E12+E18</f>
        <v>2972.7933999999996</v>
      </c>
      <c r="F8" s="309"/>
      <c r="G8" s="311"/>
      <c r="H8" s="309">
        <f>+H9+H10+H11+H12+H18</f>
        <v>4790.6413400000001</v>
      </c>
      <c r="I8" s="272">
        <f>+H8-E8</f>
        <v>1817.8479400000006</v>
      </c>
      <c r="J8" s="273">
        <f>+I8*100/H8</f>
        <v>37.945815830996871</v>
      </c>
      <c r="K8" s="340">
        <f>H25+H53+H1074</f>
        <v>2266.05422</v>
      </c>
    </row>
    <row r="9" spans="2:11" s="105" customFormat="1" ht="19.5" thickTop="1">
      <c r="B9" s="280" t="s">
        <v>29</v>
      </c>
      <c r="C9" s="281" t="s">
        <v>80</v>
      </c>
      <c r="D9" s="282">
        <f>+แผนบุคลากร!D9</f>
        <v>2311</v>
      </c>
      <c r="E9" s="281">
        <f>+แผนบุคลากร!E9</f>
        <v>590.07759999999996</v>
      </c>
      <c r="F9" s="281" t="str">
        <f>+C9</f>
        <v>อัตรา</v>
      </c>
      <c r="G9" s="282">
        <f>+แผนบุคลากร!G9</f>
        <v>2309</v>
      </c>
      <c r="H9" s="281">
        <f>+แผนบุคลากร!H9</f>
        <v>631.06569999999999</v>
      </c>
      <c r="I9" s="283">
        <f>+H9-E9</f>
        <v>40.988100000000031</v>
      </c>
      <c r="J9" s="284">
        <f>+I9*100/H9</f>
        <v>6.4950606569173432</v>
      </c>
      <c r="K9" s="285"/>
    </row>
    <row r="10" spans="2:11" s="105" customFormat="1">
      <c r="B10" s="286" t="s">
        <v>30</v>
      </c>
      <c r="C10" s="139"/>
      <c r="D10" s="140"/>
      <c r="E10" s="139">
        <f>+แผนบุคลากร!E10+งานตามภารกิจพื่นฐาน!E10+ยุทธศาสตร์!E10</f>
        <v>901.5163</v>
      </c>
      <c r="F10" s="139"/>
      <c r="G10" s="140"/>
      <c r="H10" s="139">
        <f>+แผนบุคลากร!H10+งานตามภารกิจพื่นฐาน!H10+ยุทธศาสตร์!H10</f>
        <v>1323.1166400000002</v>
      </c>
      <c r="I10" s="141">
        <f t="shared" ref="I10:I23" si="0">+H10-E10</f>
        <v>421.60034000000019</v>
      </c>
      <c r="J10" s="142">
        <f t="shared" ref="J10:J23" si="1">+I10*100/H10</f>
        <v>31.864185458358392</v>
      </c>
      <c r="K10" s="143"/>
    </row>
    <row r="11" spans="2:11" s="105" customFormat="1">
      <c r="B11" s="286" t="s">
        <v>31</v>
      </c>
      <c r="C11" s="139"/>
      <c r="D11" s="140"/>
      <c r="E11" s="139">
        <f>+แผนบุคลากร!E11+งานตามภารกิจพื่นฐาน!E11+ยุทธศาสตร์!E11</f>
        <v>474.81270000000001</v>
      </c>
      <c r="F11" s="139"/>
      <c r="G11" s="140"/>
      <c r="H11" s="139">
        <f>+แผนบุคลากร!H11+งานตามภารกิจพื่นฐาน!H11+ยุทธศาสตร์!H11</f>
        <v>1094.9024999999999</v>
      </c>
      <c r="I11" s="141">
        <f t="shared" si="0"/>
        <v>620.08979999999997</v>
      </c>
      <c r="J11" s="142">
        <f t="shared" si="1"/>
        <v>56.634248254981607</v>
      </c>
      <c r="K11" s="143"/>
    </row>
    <row r="12" spans="2:11" s="105" customFormat="1">
      <c r="B12" s="286" t="s">
        <v>32</v>
      </c>
      <c r="C12" s="139"/>
      <c r="D12" s="140"/>
      <c r="E12" s="139">
        <f>+E16</f>
        <v>962.2177999999999</v>
      </c>
      <c r="F12" s="139"/>
      <c r="G12" s="140"/>
      <c r="H12" s="139">
        <f>+H16</f>
        <v>1610.17</v>
      </c>
      <c r="I12" s="141">
        <f t="shared" si="0"/>
        <v>647.95220000000018</v>
      </c>
      <c r="J12" s="142">
        <f t="shared" si="1"/>
        <v>40.241229186980263</v>
      </c>
      <c r="K12" s="143"/>
    </row>
    <row r="13" spans="2:11" s="105" customFormat="1" hidden="1">
      <c r="B13" s="138" t="s">
        <v>72</v>
      </c>
      <c r="C13" s="139"/>
      <c r="D13" s="140"/>
      <c r="E13" s="139"/>
      <c r="F13" s="139"/>
      <c r="G13" s="140"/>
      <c r="H13" s="139"/>
      <c r="I13" s="141"/>
      <c r="J13" s="142"/>
      <c r="K13" s="143"/>
    </row>
    <row r="14" spans="2:11" s="105" customFormat="1" hidden="1">
      <c r="B14" s="138" t="s">
        <v>33</v>
      </c>
      <c r="C14" s="139"/>
      <c r="D14" s="140"/>
      <c r="E14" s="139"/>
      <c r="F14" s="139"/>
      <c r="G14" s="140"/>
      <c r="H14" s="139"/>
      <c r="I14" s="141"/>
      <c r="J14" s="142"/>
      <c r="K14" s="143" t="s">
        <v>171</v>
      </c>
    </row>
    <row r="15" spans="2:11" s="105" customFormat="1" hidden="1">
      <c r="B15" s="138" t="s">
        <v>34</v>
      </c>
      <c r="C15" s="139"/>
      <c r="D15" s="140"/>
      <c r="E15" s="139"/>
      <c r="F15" s="139"/>
      <c r="G15" s="140"/>
      <c r="H15" s="139"/>
      <c r="I15" s="141"/>
      <c r="J15" s="142"/>
      <c r="K15" s="143"/>
    </row>
    <row r="16" spans="2:11" s="105" customFormat="1" hidden="1">
      <c r="B16" s="138" t="s">
        <v>35</v>
      </c>
      <c r="C16" s="139"/>
      <c r="D16" s="140"/>
      <c r="E16" s="139">
        <f>+แผนบุคลากร!E16+งานตามภารกิจพื่นฐาน!E16+ยุทธศาสตร์!E16</f>
        <v>962.2177999999999</v>
      </c>
      <c r="F16" s="139"/>
      <c r="G16" s="140"/>
      <c r="H16" s="139">
        <f>+แผนบุคลากร!H16+งานตามภารกิจพื่นฐาน!H16+ยุทธศาสตร์!H16</f>
        <v>1610.17</v>
      </c>
      <c r="I16" s="141">
        <f t="shared" si="0"/>
        <v>647.95220000000018</v>
      </c>
      <c r="J16" s="142">
        <f t="shared" si="1"/>
        <v>40.241229186980263</v>
      </c>
      <c r="K16" s="143"/>
    </row>
    <row r="17" spans="2:11" hidden="1">
      <c r="B17" s="138" t="s">
        <v>36</v>
      </c>
      <c r="C17" s="139"/>
      <c r="D17" s="140"/>
      <c r="E17" s="139"/>
      <c r="F17" s="139"/>
      <c r="G17" s="140"/>
      <c r="H17" s="139"/>
      <c r="I17" s="141"/>
      <c r="J17" s="142"/>
      <c r="K17" s="143"/>
    </row>
    <row r="18" spans="2:11">
      <c r="B18" s="286" t="s">
        <v>37</v>
      </c>
      <c r="C18" s="139"/>
      <c r="D18" s="140"/>
      <c r="E18" s="139">
        <f>+E23</f>
        <v>44.168999999999997</v>
      </c>
      <c r="F18" s="139"/>
      <c r="G18" s="140"/>
      <c r="H18" s="139">
        <f>+H23</f>
        <v>131.38650000000001</v>
      </c>
      <c r="I18" s="141">
        <f t="shared" si="0"/>
        <v>87.217500000000015</v>
      </c>
      <c r="J18" s="142">
        <f t="shared" si="1"/>
        <v>66.382390884908276</v>
      </c>
      <c r="K18" s="143"/>
    </row>
    <row r="19" spans="2:11" hidden="1">
      <c r="B19" s="138" t="s">
        <v>72</v>
      </c>
      <c r="C19" s="139"/>
      <c r="D19" s="140"/>
      <c r="E19" s="139"/>
      <c r="F19" s="139"/>
      <c r="G19" s="140"/>
      <c r="H19" s="139"/>
      <c r="I19" s="141"/>
      <c r="J19" s="142"/>
      <c r="K19" s="143"/>
    </row>
    <row r="20" spans="2:11" hidden="1">
      <c r="B20" s="138" t="s">
        <v>33</v>
      </c>
      <c r="C20" s="139"/>
      <c r="D20" s="140"/>
      <c r="E20" s="139"/>
      <c r="F20" s="139"/>
      <c r="G20" s="140"/>
      <c r="H20" s="139"/>
      <c r="I20" s="141"/>
      <c r="J20" s="142"/>
      <c r="K20" s="143"/>
    </row>
    <row r="21" spans="2:11" hidden="1">
      <c r="B21" s="138" t="s">
        <v>34</v>
      </c>
      <c r="C21" s="139"/>
      <c r="D21" s="140"/>
      <c r="E21" s="139"/>
      <c r="F21" s="139"/>
      <c r="G21" s="140"/>
      <c r="H21" s="139"/>
      <c r="I21" s="141"/>
      <c r="J21" s="142"/>
      <c r="K21" s="143"/>
    </row>
    <row r="22" spans="2:11" hidden="1">
      <c r="B22" s="138" t="s">
        <v>35</v>
      </c>
      <c r="C22" s="139"/>
      <c r="D22" s="140"/>
      <c r="E22" s="139"/>
      <c r="F22" s="139"/>
      <c r="G22" s="140"/>
      <c r="H22" s="139"/>
      <c r="I22" s="141"/>
      <c r="J22" s="142"/>
      <c r="K22" s="143"/>
    </row>
    <row r="23" spans="2:11" hidden="1">
      <c r="B23" s="270" t="s">
        <v>36</v>
      </c>
      <c r="C23" s="262"/>
      <c r="D23" s="188"/>
      <c r="E23" s="262">
        <f>+แผนบุคลากร!E23+งานตามภารกิจพื่นฐาน!E23+ยุทธศาสตร์!E23</f>
        <v>44.168999999999997</v>
      </c>
      <c r="F23" s="262"/>
      <c r="G23" s="188"/>
      <c r="H23" s="262">
        <f>+แผนบุคลากร!H23+งานตามภารกิจพื่นฐาน!H23+ยุทธศาสตร์!H23</f>
        <v>131.38650000000001</v>
      </c>
      <c r="I23" s="190">
        <f t="shared" si="0"/>
        <v>87.217500000000015</v>
      </c>
      <c r="J23" s="191">
        <f t="shared" si="1"/>
        <v>66.382390884908276</v>
      </c>
      <c r="K23" s="271"/>
    </row>
    <row r="24" spans="2:11">
      <c r="B24" s="294"/>
      <c r="C24" s="295"/>
      <c r="D24" s="296"/>
      <c r="E24" s="295"/>
      <c r="F24" s="295"/>
      <c r="G24" s="296"/>
      <c r="H24" s="295"/>
      <c r="I24" s="297"/>
      <c r="J24" s="298"/>
      <c r="K24" s="299"/>
    </row>
    <row r="25" spans="2:11">
      <c r="B25" s="286" t="s">
        <v>64</v>
      </c>
      <c r="C25" s="139"/>
      <c r="D25" s="140"/>
      <c r="E25" s="139">
        <f>+E28+E42</f>
        <v>601.70029999999997</v>
      </c>
      <c r="F25" s="139"/>
      <c r="G25" s="140"/>
      <c r="H25" s="139">
        <f>+H28+H42</f>
        <v>647.91329999999994</v>
      </c>
      <c r="I25" s="141">
        <f t="shared" ref="I25:I48" si="2">+H25-E25</f>
        <v>46.212999999999965</v>
      </c>
      <c r="J25" s="142">
        <f t="shared" ref="J25:J48" si="3">+I25*100/H25</f>
        <v>7.132590116609733</v>
      </c>
      <c r="K25" s="143"/>
    </row>
    <row r="26" spans="2:11" ht="37.5">
      <c r="B26" s="286" t="s">
        <v>81</v>
      </c>
      <c r="C26" s="139"/>
      <c r="D26" s="140"/>
      <c r="E26" s="139"/>
      <c r="F26" s="139"/>
      <c r="G26" s="140"/>
      <c r="H26" s="139"/>
      <c r="I26" s="141"/>
      <c r="J26" s="142"/>
      <c r="K26" s="143"/>
    </row>
    <row r="27" spans="2:11">
      <c r="B27" s="286" t="s">
        <v>77</v>
      </c>
      <c r="C27" s="139"/>
      <c r="D27" s="140"/>
      <c r="E27" s="139"/>
      <c r="F27" s="139"/>
      <c r="G27" s="140"/>
      <c r="H27" s="139"/>
      <c r="I27" s="141"/>
      <c r="J27" s="142"/>
      <c r="K27" s="143"/>
    </row>
    <row r="28" spans="2:11" ht="131.25">
      <c r="B28" s="175" t="s">
        <v>1</v>
      </c>
      <c r="C28" s="139" t="s">
        <v>80</v>
      </c>
      <c r="D28" s="140">
        <f>+D29+D36+D39</f>
        <v>2311</v>
      </c>
      <c r="E28" s="139">
        <f>+E29+E36+E39</f>
        <v>590.07759999999996</v>
      </c>
      <c r="F28" s="139" t="s">
        <v>80</v>
      </c>
      <c r="G28" s="140">
        <f>+G29+G36+G39</f>
        <v>2309</v>
      </c>
      <c r="H28" s="139">
        <f>+H29+H36+H39</f>
        <v>631.06569999999999</v>
      </c>
      <c r="I28" s="141">
        <f t="shared" si="2"/>
        <v>40.988100000000031</v>
      </c>
      <c r="J28" s="142">
        <f t="shared" si="3"/>
        <v>6.4950606569173432</v>
      </c>
      <c r="K28" s="175" t="s">
        <v>1024</v>
      </c>
    </row>
    <row r="29" spans="2:11">
      <c r="B29" s="175" t="s">
        <v>14</v>
      </c>
      <c r="C29" s="139" t="s">
        <v>80</v>
      </c>
      <c r="D29" s="140">
        <f>+D30+D34</f>
        <v>935</v>
      </c>
      <c r="E29" s="139">
        <f t="shared" ref="E29:G29" si="4">+E30+E34</f>
        <v>306.61579999999998</v>
      </c>
      <c r="F29" s="139" t="s">
        <v>80</v>
      </c>
      <c r="G29" s="140">
        <f t="shared" si="4"/>
        <v>909</v>
      </c>
      <c r="H29" s="139">
        <f>+H30+H34+H33+H35</f>
        <v>333.01729999999998</v>
      </c>
      <c r="I29" s="141">
        <f t="shared" si="2"/>
        <v>26.401499999999999</v>
      </c>
      <c r="J29" s="142">
        <f t="shared" si="3"/>
        <v>7.9279665050434307</v>
      </c>
      <c r="K29" s="143"/>
    </row>
    <row r="30" spans="2:11">
      <c r="B30" s="175" t="s">
        <v>15</v>
      </c>
      <c r="C30" s="139" t="s">
        <v>80</v>
      </c>
      <c r="D30" s="140">
        <v>500</v>
      </c>
      <c r="E30" s="139">
        <v>202.2731</v>
      </c>
      <c r="F30" s="139" t="s">
        <v>80</v>
      </c>
      <c r="G30" s="140">
        <v>500</v>
      </c>
      <c r="H30" s="139">
        <v>208.726</v>
      </c>
      <c r="I30" s="141">
        <f t="shared" si="2"/>
        <v>6.4528999999999996</v>
      </c>
      <c r="J30" s="142">
        <f t="shared" si="3"/>
        <v>3.0915650182535956</v>
      </c>
      <c r="K30" s="143" t="s">
        <v>191</v>
      </c>
    </row>
    <row r="31" spans="2:11">
      <c r="B31" s="194" t="s">
        <v>2</v>
      </c>
      <c r="C31" s="139"/>
      <c r="D31" s="140"/>
      <c r="E31" s="139"/>
      <c r="F31" s="139"/>
      <c r="G31" s="140"/>
      <c r="H31" s="139"/>
      <c r="I31" s="141"/>
      <c r="J31" s="142"/>
      <c r="K31" s="143" t="s">
        <v>192</v>
      </c>
    </row>
    <row r="32" spans="2:11">
      <c r="B32" s="194" t="s">
        <v>3</v>
      </c>
      <c r="C32" s="139"/>
      <c r="D32" s="140"/>
      <c r="E32" s="139"/>
      <c r="F32" s="139"/>
      <c r="G32" s="140"/>
      <c r="H32" s="139"/>
      <c r="I32" s="141"/>
      <c r="J32" s="142"/>
      <c r="K32" s="143"/>
    </row>
    <row r="33" spans="2:11">
      <c r="B33" s="194" t="s">
        <v>57</v>
      </c>
      <c r="C33" s="139"/>
      <c r="D33" s="140"/>
      <c r="E33" s="139"/>
      <c r="F33" s="139"/>
      <c r="G33" s="140"/>
      <c r="H33" s="139">
        <v>10.8718</v>
      </c>
      <c r="I33" s="141">
        <f t="shared" si="2"/>
        <v>10.8718</v>
      </c>
      <c r="J33" s="142">
        <f t="shared" si="3"/>
        <v>100</v>
      </c>
      <c r="K33" s="143"/>
    </row>
    <row r="34" spans="2:11" ht="42" customHeight="1">
      <c r="B34" s="175" t="s">
        <v>16</v>
      </c>
      <c r="C34" s="139" t="s">
        <v>80</v>
      </c>
      <c r="D34" s="140">
        <v>435</v>
      </c>
      <c r="E34" s="139">
        <v>104.34269999999999</v>
      </c>
      <c r="F34" s="139" t="s">
        <v>80</v>
      </c>
      <c r="G34" s="140">
        <v>409</v>
      </c>
      <c r="H34" s="139">
        <v>112.9695</v>
      </c>
      <c r="I34" s="141">
        <f t="shared" si="2"/>
        <v>8.6268000000000029</v>
      </c>
      <c r="J34" s="142">
        <f t="shared" si="3"/>
        <v>7.6363974347058301</v>
      </c>
      <c r="K34" s="175" t="s">
        <v>494</v>
      </c>
    </row>
    <row r="35" spans="2:11">
      <c r="B35" s="175" t="s">
        <v>262</v>
      </c>
      <c r="C35" s="139"/>
      <c r="D35" s="140"/>
      <c r="E35" s="139"/>
      <c r="F35" s="139"/>
      <c r="G35" s="140"/>
      <c r="H35" s="139">
        <v>0.45</v>
      </c>
      <c r="I35" s="141">
        <f t="shared" si="2"/>
        <v>0.45</v>
      </c>
      <c r="J35" s="142">
        <f t="shared" si="3"/>
        <v>100</v>
      </c>
      <c r="K35" s="175"/>
    </row>
    <row r="36" spans="2:11">
      <c r="B36" s="175" t="s">
        <v>39</v>
      </c>
      <c r="C36" s="139" t="s">
        <v>80</v>
      </c>
      <c r="D36" s="140">
        <v>0</v>
      </c>
      <c r="E36" s="139">
        <v>0</v>
      </c>
      <c r="F36" s="139" t="s">
        <v>80</v>
      </c>
      <c r="G36" s="140">
        <v>0</v>
      </c>
      <c r="H36" s="139">
        <v>0</v>
      </c>
      <c r="I36" s="141"/>
      <c r="J36" s="142"/>
      <c r="K36" s="143"/>
    </row>
    <row r="37" spans="2:11">
      <c r="B37" s="194" t="s">
        <v>2</v>
      </c>
      <c r="C37" s="139"/>
      <c r="D37" s="140"/>
      <c r="E37" s="139"/>
      <c r="F37" s="139"/>
      <c r="G37" s="140"/>
      <c r="H37" s="139"/>
      <c r="I37" s="141"/>
      <c r="J37" s="142"/>
      <c r="K37" s="143"/>
    </row>
    <row r="38" spans="2:11">
      <c r="B38" s="194" t="s">
        <v>3</v>
      </c>
      <c r="C38" s="139"/>
      <c r="D38" s="140"/>
      <c r="E38" s="139"/>
      <c r="F38" s="139"/>
      <c r="G38" s="140"/>
      <c r="H38" s="139"/>
      <c r="I38" s="141"/>
      <c r="J38" s="142"/>
      <c r="K38" s="143"/>
    </row>
    <row r="39" spans="2:11">
      <c r="B39" s="175" t="s">
        <v>40</v>
      </c>
      <c r="C39" s="139" t="s">
        <v>80</v>
      </c>
      <c r="D39" s="140">
        <v>1376</v>
      </c>
      <c r="E39" s="139">
        <v>283.46179999999998</v>
      </c>
      <c r="F39" s="139" t="s">
        <v>80</v>
      </c>
      <c r="G39" s="140">
        <f>+G40+G41</f>
        <v>1400</v>
      </c>
      <c r="H39" s="139">
        <v>298.04840000000002</v>
      </c>
      <c r="I39" s="141">
        <f t="shared" si="2"/>
        <v>14.586600000000033</v>
      </c>
      <c r="J39" s="142">
        <f t="shared" si="3"/>
        <v>4.89403734427027</v>
      </c>
      <c r="K39" s="175"/>
    </row>
    <row r="40" spans="2:11">
      <c r="B40" s="194" t="s">
        <v>2</v>
      </c>
      <c r="C40" s="139"/>
      <c r="D40" s="140"/>
      <c r="E40" s="139"/>
      <c r="F40" s="139"/>
      <c r="G40" s="140">
        <v>1376</v>
      </c>
      <c r="H40" s="139"/>
      <c r="I40" s="141"/>
      <c r="J40" s="142"/>
      <c r="K40" s="143" t="s">
        <v>244</v>
      </c>
    </row>
    <row r="41" spans="2:11" ht="56.25">
      <c r="B41" s="194" t="s">
        <v>3</v>
      </c>
      <c r="C41" s="139"/>
      <c r="D41" s="140"/>
      <c r="E41" s="139"/>
      <c r="F41" s="139"/>
      <c r="G41" s="140">
        <v>24</v>
      </c>
      <c r="H41" s="139"/>
      <c r="I41" s="141"/>
      <c r="J41" s="142"/>
      <c r="K41" s="175" t="s">
        <v>245</v>
      </c>
    </row>
    <row r="42" spans="2:11">
      <c r="B42" s="175" t="s">
        <v>4</v>
      </c>
      <c r="C42" s="139"/>
      <c r="D42" s="140">
        <f>+D44</f>
        <v>0</v>
      </c>
      <c r="E42" s="139">
        <f>+E43</f>
        <v>11.6227</v>
      </c>
      <c r="F42" s="139">
        <f t="shared" ref="F42:G42" si="5">+F44</f>
        <v>0</v>
      </c>
      <c r="G42" s="140">
        <f t="shared" si="5"/>
        <v>0</v>
      </c>
      <c r="H42" s="139">
        <f>+H43</f>
        <v>16.8476</v>
      </c>
      <c r="I42" s="141">
        <f t="shared" si="2"/>
        <v>5.2248999999999999</v>
      </c>
      <c r="J42" s="142">
        <f t="shared" si="3"/>
        <v>31.012725848192026</v>
      </c>
      <c r="K42" s="143"/>
    </row>
    <row r="43" spans="2:11">
      <c r="B43" s="175" t="s">
        <v>5</v>
      </c>
      <c r="C43" s="139"/>
      <c r="D43" s="140"/>
      <c r="E43" s="139">
        <f>+E44+E47</f>
        <v>11.6227</v>
      </c>
      <c r="F43" s="139"/>
      <c r="G43" s="140"/>
      <c r="H43" s="139">
        <f>+H44+H47</f>
        <v>16.8476</v>
      </c>
      <c r="I43" s="141">
        <f t="shared" si="2"/>
        <v>5.2248999999999999</v>
      </c>
      <c r="J43" s="142">
        <f t="shared" si="3"/>
        <v>31.012725848192026</v>
      </c>
      <c r="K43" s="143"/>
    </row>
    <row r="44" spans="2:11">
      <c r="B44" s="175" t="s">
        <v>263</v>
      </c>
      <c r="C44" s="139"/>
      <c r="D44" s="140">
        <f>+D45+D46</f>
        <v>0</v>
      </c>
      <c r="E44" s="139">
        <f t="shared" ref="E44:G44" si="6">+E45+E46</f>
        <v>0</v>
      </c>
      <c r="F44" s="139">
        <f t="shared" si="6"/>
        <v>0</v>
      </c>
      <c r="G44" s="140">
        <f t="shared" si="6"/>
        <v>0</v>
      </c>
      <c r="H44" s="193">
        <v>2.5</v>
      </c>
      <c r="I44" s="141">
        <f t="shared" si="2"/>
        <v>2.5</v>
      </c>
      <c r="J44" s="142">
        <f t="shared" si="3"/>
        <v>100</v>
      </c>
      <c r="K44" s="143"/>
    </row>
    <row r="45" spans="2:11">
      <c r="B45" s="194" t="s">
        <v>17</v>
      </c>
      <c r="C45" s="139"/>
      <c r="D45" s="140"/>
      <c r="E45" s="139"/>
      <c r="F45" s="139"/>
      <c r="G45" s="140"/>
      <c r="H45" s="139"/>
      <c r="I45" s="141"/>
      <c r="J45" s="142"/>
      <c r="K45" s="143"/>
    </row>
    <row r="46" spans="2:11">
      <c r="B46" s="194" t="s">
        <v>18</v>
      </c>
      <c r="C46" s="139"/>
      <c r="D46" s="140"/>
      <c r="E46" s="139"/>
      <c r="F46" s="139"/>
      <c r="G46" s="140"/>
      <c r="H46" s="139"/>
      <c r="I46" s="141"/>
      <c r="J46" s="142"/>
      <c r="K46" s="143"/>
    </row>
    <row r="47" spans="2:11">
      <c r="B47" s="175" t="s">
        <v>75</v>
      </c>
      <c r="C47" s="139"/>
      <c r="D47" s="140">
        <f>+D48</f>
        <v>0</v>
      </c>
      <c r="E47" s="139">
        <f t="shared" ref="E47:H47" si="7">+E48</f>
        <v>11.6227</v>
      </c>
      <c r="F47" s="139">
        <f t="shared" si="7"/>
        <v>0</v>
      </c>
      <c r="G47" s="140">
        <f t="shared" si="7"/>
        <v>0</v>
      </c>
      <c r="H47" s="139">
        <f t="shared" si="7"/>
        <v>14.3476</v>
      </c>
      <c r="I47" s="141">
        <f t="shared" si="2"/>
        <v>2.7248999999999999</v>
      </c>
      <c r="J47" s="142">
        <f t="shared" si="3"/>
        <v>18.992026541024284</v>
      </c>
      <c r="K47" s="143"/>
    </row>
    <row r="48" spans="2:11" ht="56.25">
      <c r="B48" s="194" t="s">
        <v>76</v>
      </c>
      <c r="C48" s="139"/>
      <c r="D48" s="140"/>
      <c r="E48" s="139">
        <v>11.6227</v>
      </c>
      <c r="F48" s="139"/>
      <c r="G48" s="140"/>
      <c r="H48" s="139">
        <v>14.3476</v>
      </c>
      <c r="I48" s="141">
        <f t="shared" si="2"/>
        <v>2.7248999999999999</v>
      </c>
      <c r="J48" s="142">
        <f t="shared" si="3"/>
        <v>18.992026541024284</v>
      </c>
      <c r="K48" s="175" t="s">
        <v>355</v>
      </c>
    </row>
    <row r="49" spans="1:19">
      <c r="B49" s="175" t="s">
        <v>53</v>
      </c>
      <c r="C49" s="139"/>
      <c r="D49" s="140"/>
      <c r="E49" s="139"/>
      <c r="F49" s="139"/>
      <c r="G49" s="140"/>
      <c r="H49" s="139"/>
      <c r="I49" s="141"/>
      <c r="J49" s="142"/>
      <c r="K49" s="143"/>
    </row>
    <row r="50" spans="1:19" ht="37.5">
      <c r="B50" s="175" t="s">
        <v>59</v>
      </c>
      <c r="C50" s="139"/>
      <c r="D50" s="140"/>
      <c r="E50" s="139"/>
      <c r="F50" s="139"/>
      <c r="G50" s="140"/>
      <c r="H50" s="139"/>
      <c r="I50" s="141"/>
      <c r="J50" s="142"/>
      <c r="K50" s="143"/>
    </row>
    <row r="51" spans="1:19">
      <c r="B51" s="175" t="s">
        <v>56</v>
      </c>
      <c r="C51" s="139"/>
      <c r="D51" s="140"/>
      <c r="E51" s="139"/>
      <c r="F51" s="139"/>
      <c r="G51" s="140"/>
      <c r="H51" s="139"/>
      <c r="I51" s="141"/>
      <c r="J51" s="142"/>
      <c r="K51" s="143"/>
    </row>
    <row r="52" spans="1:19" ht="37.5">
      <c r="B52" s="313" t="s">
        <v>59</v>
      </c>
      <c r="C52" s="262"/>
      <c r="D52" s="188"/>
      <c r="E52" s="262"/>
      <c r="F52" s="262"/>
      <c r="G52" s="188"/>
      <c r="H52" s="262"/>
      <c r="I52" s="190"/>
      <c r="J52" s="191"/>
      <c r="K52" s="271"/>
    </row>
    <row r="53" spans="1:19" s="105" customFormat="1">
      <c r="A53" s="106"/>
      <c r="B53" s="286" t="s">
        <v>66</v>
      </c>
      <c r="C53" s="139"/>
      <c r="D53" s="140"/>
      <c r="E53" s="139">
        <f>+E54</f>
        <v>7018.6416999999983</v>
      </c>
      <c r="F53" s="139"/>
      <c r="G53" s="140"/>
      <c r="H53" s="139"/>
      <c r="I53" s="141">
        <f>+H53-E53</f>
        <v>-7018.6416999999983</v>
      </c>
      <c r="J53" s="142" t="e">
        <f t="shared" ref="J53:J73" si="8">+I53*100/H53</f>
        <v>#DIV/0!</v>
      </c>
      <c r="K53" s="143"/>
      <c r="N53" s="106"/>
      <c r="O53" s="106"/>
      <c r="P53" s="106"/>
      <c r="Q53" s="106"/>
      <c r="R53" s="106"/>
      <c r="S53" s="106"/>
    </row>
    <row r="54" spans="1:19" s="105" customFormat="1" ht="37.5">
      <c r="A54" s="106"/>
      <c r="B54" s="286" t="s">
        <v>186</v>
      </c>
      <c r="C54" s="139"/>
      <c r="D54" s="140"/>
      <c r="E54" s="139">
        <f>+E56</f>
        <v>7018.6416999999983</v>
      </c>
      <c r="F54" s="139"/>
      <c r="G54" s="140"/>
      <c r="H54" s="139">
        <f>+H56</f>
        <v>12734.234479999997</v>
      </c>
      <c r="I54" s="141">
        <f t="shared" ref="I54:I73" si="9">+H54-E54</f>
        <v>5715.592779999999</v>
      </c>
      <c r="J54" s="142">
        <f t="shared" si="8"/>
        <v>44.883677844763547</v>
      </c>
      <c r="K54" s="143"/>
      <c r="N54" s="106"/>
      <c r="O54" s="106"/>
      <c r="P54" s="106"/>
      <c r="Q54" s="106"/>
      <c r="R54" s="106"/>
      <c r="S54" s="106"/>
    </row>
    <row r="55" spans="1:19" s="105" customFormat="1">
      <c r="A55" s="106"/>
      <c r="B55" s="286" t="s">
        <v>74</v>
      </c>
      <c r="C55" s="139"/>
      <c r="D55" s="140"/>
      <c r="E55" s="139"/>
      <c r="F55" s="139"/>
      <c r="G55" s="140"/>
      <c r="H55" s="139"/>
      <c r="I55" s="141"/>
      <c r="J55" s="142"/>
      <c r="K55" s="143"/>
      <c r="N55" s="106"/>
      <c r="O55" s="106"/>
      <c r="P55" s="106"/>
      <c r="Q55" s="106"/>
      <c r="R55" s="106"/>
      <c r="S55" s="106"/>
    </row>
    <row r="56" spans="1:19" s="105" customFormat="1" ht="37.5">
      <c r="A56" s="106"/>
      <c r="B56" s="286" t="s">
        <v>83</v>
      </c>
      <c r="C56" s="139"/>
      <c r="D56" s="140"/>
      <c r="E56" s="139">
        <f>+E57+E202+E334+E456+E560+E704+E824+E902+E973</f>
        <v>7018.6416999999983</v>
      </c>
      <c r="F56" s="139"/>
      <c r="G56" s="140"/>
      <c r="H56" s="139">
        <f>+H57+H202+H334+H456+H560+H704+H824+H902+H973</f>
        <v>12734.234479999997</v>
      </c>
      <c r="I56" s="141">
        <f t="shared" si="9"/>
        <v>5715.592779999999</v>
      </c>
      <c r="J56" s="142">
        <f t="shared" si="8"/>
        <v>44.883677844763547</v>
      </c>
      <c r="K56" s="143"/>
      <c r="N56" s="106"/>
      <c r="O56" s="106"/>
      <c r="P56" s="106"/>
      <c r="Q56" s="106"/>
      <c r="R56" s="106"/>
      <c r="S56" s="106"/>
    </row>
    <row r="57" spans="1:19" s="105" customFormat="1" ht="27.75" customHeight="1">
      <c r="A57" s="106"/>
      <c r="B57" s="286" t="s">
        <v>125</v>
      </c>
      <c r="C57" s="139"/>
      <c r="D57" s="140"/>
      <c r="E57" s="139">
        <f>+E59+E167+E190+E195</f>
        <v>51.976699999999994</v>
      </c>
      <c r="F57" s="139"/>
      <c r="G57" s="140"/>
      <c r="H57" s="139">
        <f>+H59+H167+H190+H195</f>
        <v>75.138099999999994</v>
      </c>
      <c r="I57" s="141">
        <f t="shared" si="9"/>
        <v>23.1614</v>
      </c>
      <c r="J57" s="142">
        <f t="shared" si="8"/>
        <v>30.825107368964613</v>
      </c>
      <c r="K57" s="143"/>
      <c r="N57" s="106"/>
      <c r="O57" s="106"/>
      <c r="P57" s="106"/>
      <c r="Q57" s="106"/>
      <c r="R57" s="106"/>
      <c r="S57" s="106"/>
    </row>
    <row r="58" spans="1:19" s="105" customFormat="1" ht="27.75" customHeight="1">
      <c r="A58" s="106"/>
      <c r="B58" s="245" t="s">
        <v>94</v>
      </c>
      <c r="C58" s="139"/>
      <c r="D58" s="140"/>
      <c r="E58" s="139"/>
      <c r="F58" s="139"/>
      <c r="G58" s="140"/>
      <c r="H58" s="139"/>
      <c r="I58" s="141"/>
      <c r="J58" s="142"/>
      <c r="K58" s="143"/>
      <c r="L58" s="246"/>
      <c r="N58" s="106"/>
      <c r="O58" s="106"/>
      <c r="P58" s="106"/>
      <c r="Q58" s="106"/>
      <c r="R58" s="106"/>
      <c r="S58" s="106"/>
    </row>
    <row r="59" spans="1:19" s="105" customFormat="1">
      <c r="A59" s="106"/>
      <c r="B59" s="175" t="s">
        <v>38</v>
      </c>
      <c r="C59" s="139"/>
      <c r="D59" s="140"/>
      <c r="E59" s="139">
        <f>+E60+E160</f>
        <v>51.499699999999997</v>
      </c>
      <c r="F59" s="139"/>
      <c r="G59" s="140"/>
      <c r="H59" s="139">
        <f>+H60+H160</f>
        <v>65.482900000000001</v>
      </c>
      <c r="I59" s="141">
        <f t="shared" si="9"/>
        <v>13.983200000000004</v>
      </c>
      <c r="J59" s="142">
        <f t="shared" si="8"/>
        <v>21.353971800271527</v>
      </c>
      <c r="K59" s="143"/>
      <c r="N59" s="106"/>
      <c r="O59" s="106"/>
      <c r="P59" s="106"/>
      <c r="Q59" s="106"/>
      <c r="R59" s="106"/>
      <c r="S59" s="106"/>
    </row>
    <row r="60" spans="1:19" s="105" customFormat="1">
      <c r="A60" s="106"/>
      <c r="B60" s="175" t="s">
        <v>41</v>
      </c>
      <c r="C60" s="139"/>
      <c r="D60" s="140"/>
      <c r="E60" s="139">
        <f>+E61+E82+E147</f>
        <v>44.713799999999999</v>
      </c>
      <c r="F60" s="139"/>
      <c r="G60" s="140"/>
      <c r="H60" s="139">
        <f>+H61+H82+H147</f>
        <v>56.069200000000002</v>
      </c>
      <c r="I60" s="141">
        <f t="shared" si="9"/>
        <v>11.355400000000003</v>
      </c>
      <c r="J60" s="142">
        <f t="shared" si="8"/>
        <v>20.252473728892163</v>
      </c>
      <c r="K60" s="143"/>
      <c r="N60" s="106"/>
      <c r="O60" s="106"/>
      <c r="P60" s="106"/>
      <c r="Q60" s="106"/>
      <c r="R60" s="106"/>
      <c r="S60" s="106"/>
    </row>
    <row r="61" spans="1:19" s="105" customFormat="1">
      <c r="A61" s="106"/>
      <c r="B61" s="175" t="s">
        <v>42</v>
      </c>
      <c r="C61" s="139"/>
      <c r="D61" s="140"/>
      <c r="E61" s="139">
        <f>SUM(E62:E81)</f>
        <v>7.0358999999999998</v>
      </c>
      <c r="F61" s="139"/>
      <c r="G61" s="140"/>
      <c r="H61" s="139">
        <f>SUM(H62:H81)</f>
        <v>5.8907000000000007</v>
      </c>
      <c r="I61" s="141">
        <f t="shared" si="9"/>
        <v>-1.1451999999999991</v>
      </c>
      <c r="J61" s="142">
        <f t="shared" si="8"/>
        <v>-19.440813485663824</v>
      </c>
      <c r="K61" s="143"/>
      <c r="N61" s="106"/>
      <c r="O61" s="106"/>
      <c r="P61" s="106"/>
      <c r="Q61" s="106"/>
      <c r="R61" s="106"/>
      <c r="S61" s="106"/>
    </row>
    <row r="62" spans="1:19" s="105" customFormat="1" ht="49.5" customHeight="1">
      <c r="A62" s="106"/>
      <c r="B62" s="194" t="s">
        <v>95</v>
      </c>
      <c r="C62" s="139"/>
      <c r="D62" s="140"/>
      <c r="E62" s="139">
        <v>2.7770000000000001</v>
      </c>
      <c r="F62" s="139"/>
      <c r="G62" s="140"/>
      <c r="H62" s="139">
        <v>0.78600000000000003</v>
      </c>
      <c r="I62" s="141">
        <f t="shared" si="9"/>
        <v>-1.9910000000000001</v>
      </c>
      <c r="J62" s="142">
        <f t="shared" si="8"/>
        <v>-253.3078880407125</v>
      </c>
      <c r="K62" s="314" t="s">
        <v>1025</v>
      </c>
      <c r="N62" s="106"/>
      <c r="O62" s="106"/>
      <c r="P62" s="106"/>
      <c r="Q62" s="106"/>
      <c r="R62" s="106"/>
      <c r="S62" s="106"/>
    </row>
    <row r="63" spans="1:19" s="105" customFormat="1" ht="56.25">
      <c r="A63" s="106"/>
      <c r="B63" s="194"/>
      <c r="C63" s="139"/>
      <c r="D63" s="140"/>
      <c r="E63" s="139"/>
      <c r="F63" s="139"/>
      <c r="G63" s="140"/>
      <c r="H63" s="139"/>
      <c r="I63" s="141"/>
      <c r="J63" s="142"/>
      <c r="K63" s="175" t="s">
        <v>1026</v>
      </c>
      <c r="N63" s="106"/>
      <c r="O63" s="106"/>
      <c r="P63" s="106"/>
      <c r="Q63" s="106"/>
      <c r="R63" s="106"/>
      <c r="S63" s="106"/>
    </row>
    <row r="64" spans="1:19" s="105" customFormat="1" ht="75">
      <c r="A64" s="106"/>
      <c r="B64" s="194" t="s">
        <v>272</v>
      </c>
      <c r="C64" s="139"/>
      <c r="D64" s="140"/>
      <c r="E64" s="139">
        <v>0.96350000000000002</v>
      </c>
      <c r="F64" s="139"/>
      <c r="G64" s="140"/>
      <c r="H64" s="139">
        <v>0.156</v>
      </c>
      <c r="I64" s="141">
        <f t="shared" si="9"/>
        <v>-0.8075</v>
      </c>
      <c r="J64" s="142">
        <f t="shared" si="8"/>
        <v>-517.62820512820508</v>
      </c>
      <c r="K64" s="175" t="s">
        <v>1027</v>
      </c>
      <c r="N64" s="106"/>
      <c r="O64" s="106"/>
      <c r="P64" s="106"/>
      <c r="Q64" s="106"/>
      <c r="R64" s="106"/>
      <c r="S64" s="106"/>
    </row>
    <row r="65" spans="1:19" s="105" customFormat="1" ht="37.5">
      <c r="A65" s="106"/>
      <c r="B65" s="194"/>
      <c r="C65" s="139"/>
      <c r="D65" s="140"/>
      <c r="E65" s="139"/>
      <c r="F65" s="139"/>
      <c r="G65" s="140"/>
      <c r="H65" s="139"/>
      <c r="I65" s="141"/>
      <c r="J65" s="142"/>
      <c r="K65" s="175" t="s">
        <v>289</v>
      </c>
      <c r="N65" s="106"/>
      <c r="O65" s="106"/>
      <c r="P65" s="106"/>
      <c r="Q65" s="106"/>
      <c r="R65" s="106"/>
      <c r="S65" s="106"/>
    </row>
    <row r="66" spans="1:19" s="105" customFormat="1">
      <c r="A66" s="106"/>
      <c r="B66" s="194"/>
      <c r="C66" s="139"/>
      <c r="D66" s="140"/>
      <c r="E66" s="139"/>
      <c r="F66" s="139"/>
      <c r="G66" s="140"/>
      <c r="H66" s="139"/>
      <c r="I66" s="141"/>
      <c r="J66" s="142"/>
      <c r="K66" s="143" t="s">
        <v>290</v>
      </c>
      <c r="N66" s="106"/>
      <c r="O66" s="106"/>
      <c r="P66" s="106"/>
      <c r="Q66" s="106"/>
      <c r="R66" s="106"/>
      <c r="S66" s="106"/>
    </row>
    <row r="67" spans="1:19" s="105" customFormat="1" ht="75">
      <c r="A67" s="106"/>
      <c r="B67" s="194" t="s">
        <v>275</v>
      </c>
      <c r="C67" s="139"/>
      <c r="D67" s="140"/>
      <c r="E67" s="139">
        <v>1.6693</v>
      </c>
      <c r="F67" s="139"/>
      <c r="G67" s="140"/>
      <c r="H67" s="139">
        <v>1.4904999999999999</v>
      </c>
      <c r="I67" s="141">
        <f t="shared" si="9"/>
        <v>-0.17880000000000007</v>
      </c>
      <c r="J67" s="142">
        <f t="shared" si="8"/>
        <v>-11.995974505199602</v>
      </c>
      <c r="K67" s="175" t="s">
        <v>1028</v>
      </c>
      <c r="N67" s="106"/>
      <c r="O67" s="106"/>
      <c r="P67" s="106"/>
      <c r="Q67" s="106"/>
      <c r="R67" s="106"/>
      <c r="S67" s="106"/>
    </row>
    <row r="68" spans="1:19" s="105" customFormat="1" ht="56.25">
      <c r="A68" s="106"/>
      <c r="B68" s="194"/>
      <c r="C68" s="139"/>
      <c r="D68" s="140"/>
      <c r="E68" s="139"/>
      <c r="F68" s="139"/>
      <c r="G68" s="140"/>
      <c r="H68" s="139"/>
      <c r="I68" s="141"/>
      <c r="J68" s="142"/>
      <c r="K68" s="219" t="s">
        <v>291</v>
      </c>
      <c r="N68" s="106"/>
      <c r="O68" s="106"/>
      <c r="P68" s="106"/>
      <c r="Q68" s="106"/>
      <c r="R68" s="106"/>
      <c r="S68" s="106"/>
    </row>
    <row r="69" spans="1:19" s="105" customFormat="1" ht="56.25">
      <c r="A69" s="106"/>
      <c r="B69" s="194"/>
      <c r="C69" s="139"/>
      <c r="D69" s="140"/>
      <c r="E69" s="139"/>
      <c r="F69" s="139"/>
      <c r="G69" s="140"/>
      <c r="H69" s="139"/>
      <c r="I69" s="141"/>
      <c r="J69" s="142"/>
      <c r="K69" s="219" t="s">
        <v>292</v>
      </c>
      <c r="N69" s="106"/>
      <c r="O69" s="106"/>
      <c r="P69" s="106"/>
      <c r="Q69" s="106"/>
      <c r="R69" s="106"/>
      <c r="S69" s="106"/>
    </row>
    <row r="70" spans="1:19" s="105" customFormat="1" ht="37.5">
      <c r="A70" s="106"/>
      <c r="B70" s="194"/>
      <c r="C70" s="139"/>
      <c r="D70" s="140"/>
      <c r="E70" s="139"/>
      <c r="F70" s="139"/>
      <c r="G70" s="140"/>
      <c r="H70" s="139"/>
      <c r="I70" s="141"/>
      <c r="J70" s="142"/>
      <c r="K70" s="219" t="s">
        <v>293</v>
      </c>
      <c r="N70" s="106"/>
      <c r="O70" s="106"/>
      <c r="P70" s="106"/>
      <c r="Q70" s="106"/>
      <c r="R70" s="106"/>
      <c r="S70" s="106"/>
    </row>
    <row r="71" spans="1:19" s="105" customFormat="1" ht="37.5">
      <c r="A71" s="106"/>
      <c r="B71" s="194"/>
      <c r="C71" s="139"/>
      <c r="D71" s="140"/>
      <c r="E71" s="139"/>
      <c r="F71" s="139"/>
      <c r="G71" s="140"/>
      <c r="H71" s="139"/>
      <c r="I71" s="141"/>
      <c r="J71" s="142"/>
      <c r="K71" s="175" t="s">
        <v>299</v>
      </c>
      <c r="N71" s="106"/>
      <c r="O71" s="106"/>
      <c r="P71" s="106"/>
      <c r="Q71" s="106"/>
      <c r="R71" s="106"/>
      <c r="S71" s="106"/>
    </row>
    <row r="72" spans="1:19" s="105" customFormat="1">
      <c r="A72" s="106"/>
      <c r="B72" s="194"/>
      <c r="C72" s="139"/>
      <c r="D72" s="140"/>
      <c r="E72" s="139"/>
      <c r="F72" s="139"/>
      <c r="G72" s="140"/>
      <c r="H72" s="139"/>
      <c r="I72" s="141"/>
      <c r="J72" s="142"/>
      <c r="K72" s="143" t="s">
        <v>300</v>
      </c>
      <c r="N72" s="106"/>
      <c r="O72" s="106"/>
      <c r="P72" s="106"/>
      <c r="Q72" s="106"/>
      <c r="R72" s="106"/>
      <c r="S72" s="106"/>
    </row>
    <row r="73" spans="1:19" s="105" customFormat="1" ht="56.25">
      <c r="A73" s="106"/>
      <c r="B73" s="194" t="s">
        <v>96</v>
      </c>
      <c r="C73" s="139"/>
      <c r="D73" s="140"/>
      <c r="E73" s="139">
        <v>1.0165</v>
      </c>
      <c r="F73" s="139"/>
      <c r="G73" s="140"/>
      <c r="H73" s="139">
        <f>1.0905+2-0.2419</f>
        <v>2.8486000000000002</v>
      </c>
      <c r="I73" s="141">
        <f t="shared" si="9"/>
        <v>1.8321000000000003</v>
      </c>
      <c r="J73" s="142">
        <f t="shared" si="8"/>
        <v>64.315804254721627</v>
      </c>
      <c r="K73" s="175" t="s">
        <v>273</v>
      </c>
      <c r="N73" s="106"/>
      <c r="O73" s="106"/>
      <c r="P73" s="106"/>
      <c r="Q73" s="106"/>
      <c r="R73" s="106"/>
      <c r="S73" s="106"/>
    </row>
    <row r="74" spans="1:19" s="105" customFormat="1">
      <c r="A74" s="106"/>
      <c r="B74" s="194"/>
      <c r="C74" s="139"/>
      <c r="D74" s="140"/>
      <c r="E74" s="139"/>
      <c r="F74" s="139"/>
      <c r="G74" s="140"/>
      <c r="H74" s="139"/>
      <c r="I74" s="141"/>
      <c r="J74" s="142"/>
      <c r="K74" s="315" t="s">
        <v>274</v>
      </c>
      <c r="N74" s="106"/>
      <c r="O74" s="106"/>
      <c r="P74" s="106"/>
      <c r="Q74" s="106"/>
      <c r="R74" s="106"/>
      <c r="S74" s="106"/>
    </row>
    <row r="75" spans="1:19" s="105" customFormat="1">
      <c r="A75" s="106"/>
      <c r="B75" s="194"/>
      <c r="C75" s="139"/>
      <c r="D75" s="140"/>
      <c r="E75" s="139"/>
      <c r="F75" s="139"/>
      <c r="G75" s="140"/>
      <c r="H75" s="139"/>
      <c r="I75" s="141"/>
      <c r="J75" s="142"/>
      <c r="K75" s="315" t="s">
        <v>301</v>
      </c>
      <c r="N75" s="106"/>
      <c r="O75" s="106"/>
      <c r="P75" s="106"/>
      <c r="Q75" s="106"/>
      <c r="R75" s="106"/>
      <c r="S75" s="106"/>
    </row>
    <row r="76" spans="1:19" s="105" customFormat="1">
      <c r="A76" s="106"/>
      <c r="B76" s="194"/>
      <c r="C76" s="139"/>
      <c r="D76" s="140"/>
      <c r="E76" s="139"/>
      <c r="F76" s="139"/>
      <c r="G76" s="140"/>
      <c r="H76" s="139"/>
      <c r="I76" s="141"/>
      <c r="J76" s="142"/>
      <c r="K76" s="315" t="s">
        <v>302</v>
      </c>
      <c r="N76" s="106"/>
      <c r="O76" s="106"/>
      <c r="P76" s="106"/>
      <c r="Q76" s="106"/>
      <c r="R76" s="106"/>
      <c r="S76" s="106"/>
    </row>
    <row r="77" spans="1:19" s="105" customFormat="1">
      <c r="A77" s="106"/>
      <c r="B77" s="194"/>
      <c r="C77" s="139"/>
      <c r="D77" s="140"/>
      <c r="E77" s="139"/>
      <c r="F77" s="139"/>
      <c r="G77" s="140"/>
      <c r="H77" s="139"/>
      <c r="I77" s="141"/>
      <c r="J77" s="142"/>
      <c r="K77" s="315" t="s">
        <v>303</v>
      </c>
      <c r="N77" s="106"/>
      <c r="O77" s="106"/>
      <c r="P77" s="106"/>
      <c r="Q77" s="106"/>
      <c r="R77" s="106"/>
      <c r="S77" s="106"/>
    </row>
    <row r="78" spans="1:19" s="105" customFormat="1" ht="37.5">
      <c r="A78" s="106"/>
      <c r="B78" s="194"/>
      <c r="C78" s="139"/>
      <c r="D78" s="140"/>
      <c r="E78" s="139"/>
      <c r="F78" s="139"/>
      <c r="G78" s="140"/>
      <c r="H78" s="139"/>
      <c r="I78" s="141"/>
      <c r="J78" s="142"/>
      <c r="K78" s="219" t="s">
        <v>305</v>
      </c>
      <c r="N78" s="106"/>
      <c r="O78" s="106"/>
      <c r="P78" s="106"/>
      <c r="Q78" s="106"/>
      <c r="R78" s="106"/>
      <c r="S78" s="106"/>
    </row>
    <row r="79" spans="1:19" s="105" customFormat="1">
      <c r="A79" s="106"/>
      <c r="B79" s="194"/>
      <c r="C79" s="139"/>
      <c r="D79" s="140"/>
      <c r="E79" s="139"/>
      <c r="F79" s="139"/>
      <c r="G79" s="140"/>
      <c r="H79" s="139"/>
      <c r="I79" s="141"/>
      <c r="J79" s="142"/>
      <c r="K79" s="315" t="s">
        <v>304</v>
      </c>
      <c r="N79" s="106"/>
      <c r="O79" s="106"/>
      <c r="P79" s="106"/>
      <c r="Q79" s="106"/>
      <c r="R79" s="106"/>
      <c r="S79" s="106"/>
    </row>
    <row r="80" spans="1:19" s="105" customFormat="1">
      <c r="A80" s="106"/>
      <c r="B80" s="194"/>
      <c r="C80" s="139"/>
      <c r="D80" s="140"/>
      <c r="E80" s="139"/>
      <c r="F80" s="139"/>
      <c r="G80" s="140"/>
      <c r="H80" s="139"/>
      <c r="I80" s="141"/>
      <c r="J80" s="142"/>
      <c r="K80" s="143" t="s">
        <v>402</v>
      </c>
      <c r="N80" s="106"/>
      <c r="O80" s="106"/>
      <c r="P80" s="106"/>
      <c r="Q80" s="106"/>
      <c r="R80" s="106"/>
      <c r="S80" s="106"/>
    </row>
    <row r="81" spans="1:19" s="105" customFormat="1" ht="37.5">
      <c r="A81" s="106"/>
      <c r="B81" s="194" t="s">
        <v>97</v>
      </c>
      <c r="C81" s="139"/>
      <c r="D81" s="140"/>
      <c r="E81" s="139">
        <v>0.60960000000000003</v>
      </c>
      <c r="F81" s="139"/>
      <c r="G81" s="140"/>
      <c r="H81" s="139">
        <v>0.60960000000000003</v>
      </c>
      <c r="I81" s="141">
        <f t="shared" ref="I81:I134" si="10">+H81-E81</f>
        <v>0</v>
      </c>
      <c r="J81" s="142">
        <f t="shared" ref="J81:J134" si="11">+I81*100/H81</f>
        <v>0</v>
      </c>
      <c r="K81" s="143" t="s">
        <v>264</v>
      </c>
      <c r="N81" s="106"/>
      <c r="O81" s="106"/>
      <c r="P81" s="106"/>
      <c r="Q81" s="106"/>
      <c r="R81" s="106"/>
      <c r="S81" s="106"/>
    </row>
    <row r="82" spans="1:19" s="105" customFormat="1">
      <c r="A82" s="106"/>
      <c r="B82" s="175" t="s">
        <v>43</v>
      </c>
      <c r="C82" s="139"/>
      <c r="D82" s="140"/>
      <c r="E82" s="139">
        <f>SUM(E84:E134)</f>
        <v>34.157299999999999</v>
      </c>
      <c r="F82" s="139"/>
      <c r="G82" s="140"/>
      <c r="H82" s="139">
        <f>SUM(H84:H134)</f>
        <v>46.857700000000001</v>
      </c>
      <c r="I82" s="141">
        <f t="shared" si="10"/>
        <v>12.700400000000002</v>
      </c>
      <c r="J82" s="142">
        <f t="shared" si="11"/>
        <v>27.104189919693031</v>
      </c>
      <c r="K82" s="143"/>
      <c r="N82" s="106"/>
      <c r="O82" s="106"/>
      <c r="P82" s="106"/>
      <c r="Q82" s="106"/>
      <c r="R82" s="106"/>
      <c r="S82" s="106"/>
    </row>
    <row r="83" spans="1:19">
      <c r="B83" s="175" t="s">
        <v>19</v>
      </c>
      <c r="C83" s="139"/>
      <c r="D83" s="140"/>
      <c r="E83" s="139"/>
      <c r="F83" s="139"/>
      <c r="G83" s="140"/>
      <c r="H83" s="139"/>
      <c r="I83" s="141"/>
      <c r="J83" s="142"/>
      <c r="K83" s="143"/>
    </row>
    <row r="84" spans="1:19">
      <c r="B84" s="194" t="s">
        <v>85</v>
      </c>
      <c r="C84" s="139"/>
      <c r="D84" s="140"/>
      <c r="E84" s="139">
        <f>0.6351+1.294+0.454</f>
        <v>2.3831000000000002</v>
      </c>
      <c r="F84" s="139"/>
      <c r="G84" s="140"/>
      <c r="H84" s="139">
        <f>4.1472+2</f>
        <v>6.1471999999999998</v>
      </c>
      <c r="I84" s="141">
        <f t="shared" si="10"/>
        <v>3.7640999999999996</v>
      </c>
      <c r="J84" s="142">
        <f t="shared" si="11"/>
        <v>61.232756376887032</v>
      </c>
      <c r="K84" s="143" t="s">
        <v>280</v>
      </c>
    </row>
    <row r="85" spans="1:19">
      <c r="B85" s="194"/>
      <c r="C85" s="139"/>
      <c r="D85" s="140"/>
      <c r="E85" s="139"/>
      <c r="F85" s="139"/>
      <c r="G85" s="140"/>
      <c r="H85" s="139"/>
      <c r="I85" s="141"/>
      <c r="J85" s="142"/>
      <c r="K85" s="315" t="s">
        <v>281</v>
      </c>
    </row>
    <row r="86" spans="1:19">
      <c r="B86" s="194"/>
      <c r="C86" s="139"/>
      <c r="D86" s="140"/>
      <c r="E86" s="139"/>
      <c r="F86" s="139"/>
      <c r="G86" s="140"/>
      <c r="H86" s="139"/>
      <c r="I86" s="141"/>
      <c r="J86" s="142"/>
      <c r="K86" s="143" t="s">
        <v>306</v>
      </c>
    </row>
    <row r="87" spans="1:19" ht="37.5">
      <c r="B87" s="194"/>
      <c r="C87" s="139"/>
      <c r="D87" s="140"/>
      <c r="E87" s="139"/>
      <c r="F87" s="139"/>
      <c r="G87" s="140"/>
      <c r="H87" s="139"/>
      <c r="I87" s="141"/>
      <c r="J87" s="142"/>
      <c r="K87" s="175" t="s">
        <v>307</v>
      </c>
    </row>
    <row r="88" spans="1:19">
      <c r="B88" s="194"/>
      <c r="C88" s="139"/>
      <c r="D88" s="140"/>
      <c r="E88" s="139"/>
      <c r="F88" s="139"/>
      <c r="G88" s="140"/>
      <c r="H88" s="139"/>
      <c r="I88" s="141"/>
      <c r="J88" s="142"/>
      <c r="K88" s="143" t="s">
        <v>308</v>
      </c>
    </row>
    <row r="89" spans="1:19">
      <c r="B89" s="194"/>
      <c r="C89" s="139"/>
      <c r="D89" s="140"/>
      <c r="E89" s="139"/>
      <c r="F89" s="139"/>
      <c r="G89" s="140"/>
      <c r="H89" s="139"/>
      <c r="I89" s="141"/>
      <c r="J89" s="142"/>
      <c r="K89" s="143" t="s">
        <v>309</v>
      </c>
    </row>
    <row r="90" spans="1:19" ht="37.5">
      <c r="B90" s="194"/>
      <c r="C90" s="139"/>
      <c r="D90" s="140"/>
      <c r="E90" s="139"/>
      <c r="F90" s="139"/>
      <c r="G90" s="140"/>
      <c r="H90" s="139"/>
      <c r="I90" s="141"/>
      <c r="J90" s="142"/>
      <c r="K90" s="175" t="s">
        <v>310</v>
      </c>
    </row>
    <row r="91" spans="1:19">
      <c r="B91" s="194"/>
      <c r="C91" s="139"/>
      <c r="D91" s="140"/>
      <c r="E91" s="139"/>
      <c r="F91" s="139"/>
      <c r="G91" s="140"/>
      <c r="H91" s="139"/>
      <c r="I91" s="141"/>
      <c r="J91" s="142"/>
      <c r="K91" s="175" t="s">
        <v>401</v>
      </c>
    </row>
    <row r="92" spans="1:19" ht="56.25">
      <c r="B92" s="194" t="s">
        <v>98</v>
      </c>
      <c r="C92" s="139"/>
      <c r="D92" s="140"/>
      <c r="E92" s="139">
        <v>0.3</v>
      </c>
      <c r="F92" s="139"/>
      <c r="G92" s="140"/>
      <c r="H92" s="139">
        <v>0.33</v>
      </c>
      <c r="I92" s="141">
        <f t="shared" si="10"/>
        <v>3.0000000000000027E-2</v>
      </c>
      <c r="J92" s="142">
        <f t="shared" si="11"/>
        <v>9.0909090909090988</v>
      </c>
      <c r="K92" s="175" t="s">
        <v>311</v>
      </c>
    </row>
    <row r="93" spans="1:19" ht="37.5">
      <c r="B93" s="194" t="s">
        <v>99</v>
      </c>
      <c r="C93" s="139"/>
      <c r="D93" s="140"/>
      <c r="E93" s="139">
        <v>0.25</v>
      </c>
      <c r="F93" s="139"/>
      <c r="G93" s="140"/>
      <c r="H93" s="139">
        <f>+ 0.27+0.1</f>
        <v>0.37</v>
      </c>
      <c r="I93" s="141">
        <f t="shared" si="10"/>
        <v>0.12</v>
      </c>
      <c r="J93" s="142">
        <f t="shared" si="11"/>
        <v>32.432432432432435</v>
      </c>
      <c r="K93" s="175" t="s">
        <v>350</v>
      </c>
    </row>
    <row r="94" spans="1:19" ht="37.5">
      <c r="B94" s="194" t="s">
        <v>100</v>
      </c>
      <c r="C94" s="139"/>
      <c r="D94" s="140"/>
      <c r="E94" s="139">
        <v>0.3</v>
      </c>
      <c r="F94" s="139"/>
      <c r="G94" s="140"/>
      <c r="H94" s="139">
        <v>0.33</v>
      </c>
      <c r="I94" s="141">
        <f t="shared" si="10"/>
        <v>3.0000000000000027E-2</v>
      </c>
      <c r="J94" s="142">
        <f t="shared" si="11"/>
        <v>9.0909090909090988</v>
      </c>
      <c r="K94" s="175" t="s">
        <v>312</v>
      </c>
    </row>
    <row r="95" spans="1:19" ht="37.5">
      <c r="B95" s="194" t="s">
        <v>101</v>
      </c>
      <c r="C95" s="139"/>
      <c r="D95" s="140"/>
      <c r="E95" s="139">
        <v>6.9073000000000002</v>
      </c>
      <c r="F95" s="139"/>
      <c r="G95" s="140"/>
      <c r="H95" s="139">
        <v>7.5979999999999999</v>
      </c>
      <c r="I95" s="141">
        <f t="shared" si="10"/>
        <v>0.69069999999999965</v>
      </c>
      <c r="J95" s="142">
        <f t="shared" si="11"/>
        <v>9.0905501447749355</v>
      </c>
      <c r="K95" s="219" t="s">
        <v>400</v>
      </c>
      <c r="N95" s="316"/>
    </row>
    <row r="96" spans="1:19" ht="21.75" customHeight="1">
      <c r="B96" s="194" t="s">
        <v>102</v>
      </c>
      <c r="C96" s="139"/>
      <c r="D96" s="140"/>
      <c r="E96" s="139">
        <f>1.7+1.5+0.1+0.03+1.5+7.737+0.9484+2.0365+1.2+0.03</f>
        <v>16.7819</v>
      </c>
      <c r="F96" s="139"/>
      <c r="G96" s="140"/>
      <c r="H96" s="139">
        <v>12.6442</v>
      </c>
      <c r="I96" s="141">
        <f t="shared" si="10"/>
        <v>-4.1377000000000006</v>
      </c>
      <c r="J96" s="142">
        <f t="shared" si="11"/>
        <v>-32.724094841903799</v>
      </c>
      <c r="K96" s="143" t="s">
        <v>276</v>
      </c>
      <c r="L96" s="105">
        <f>SUM(L97:L116)</f>
        <v>12644200</v>
      </c>
    </row>
    <row r="97" spans="1:19" ht="93.75">
      <c r="B97" s="194" t="s">
        <v>313</v>
      </c>
      <c r="C97" s="139"/>
      <c r="D97" s="140"/>
      <c r="E97" s="139"/>
      <c r="F97" s="139"/>
      <c r="G97" s="140"/>
      <c r="H97" s="139"/>
      <c r="I97" s="141"/>
      <c r="J97" s="142"/>
      <c r="K97" s="175" t="s">
        <v>321</v>
      </c>
      <c r="L97" s="105">
        <v>2000000</v>
      </c>
    </row>
    <row r="98" spans="1:19" ht="56.25">
      <c r="B98" s="194" t="s">
        <v>314</v>
      </c>
      <c r="C98" s="139"/>
      <c r="D98" s="140"/>
      <c r="E98" s="139"/>
      <c r="F98" s="139"/>
      <c r="G98" s="140"/>
      <c r="H98" s="139"/>
      <c r="I98" s="141"/>
      <c r="J98" s="142"/>
      <c r="K98" s="175" t="s">
        <v>322</v>
      </c>
      <c r="L98" s="105">
        <v>2000000</v>
      </c>
    </row>
    <row r="99" spans="1:19" s="105" customFormat="1" ht="75">
      <c r="A99" s="106"/>
      <c r="B99" s="194" t="s">
        <v>315</v>
      </c>
      <c r="C99" s="139"/>
      <c r="D99" s="140"/>
      <c r="E99" s="139"/>
      <c r="F99" s="139"/>
      <c r="G99" s="140"/>
      <c r="H99" s="139"/>
      <c r="I99" s="141"/>
      <c r="J99" s="142"/>
      <c r="K99" s="175" t="s">
        <v>324</v>
      </c>
      <c r="L99" s="105">
        <v>35000</v>
      </c>
      <c r="N99" s="106"/>
      <c r="O99" s="106"/>
      <c r="P99" s="106"/>
      <c r="Q99" s="106"/>
      <c r="R99" s="106"/>
      <c r="S99" s="106"/>
    </row>
    <row r="100" spans="1:19" s="105" customFormat="1" ht="37.5">
      <c r="A100" s="106"/>
      <c r="B100" s="194" t="s">
        <v>323</v>
      </c>
      <c r="C100" s="139"/>
      <c r="D100" s="140"/>
      <c r="E100" s="139"/>
      <c r="F100" s="139"/>
      <c r="G100" s="140"/>
      <c r="H100" s="139"/>
      <c r="I100" s="141"/>
      <c r="J100" s="142"/>
      <c r="K100" s="175" t="s">
        <v>325</v>
      </c>
      <c r="L100" s="105">
        <v>30000</v>
      </c>
      <c r="N100" s="106"/>
      <c r="O100" s="106"/>
      <c r="P100" s="106"/>
      <c r="Q100" s="106"/>
      <c r="R100" s="106"/>
      <c r="S100" s="106"/>
    </row>
    <row r="101" spans="1:19" s="105" customFormat="1">
      <c r="A101" s="106"/>
      <c r="B101" s="194" t="s">
        <v>316</v>
      </c>
      <c r="C101" s="139"/>
      <c r="D101" s="140"/>
      <c r="E101" s="139"/>
      <c r="F101" s="139"/>
      <c r="G101" s="140"/>
      <c r="H101" s="139"/>
      <c r="I101" s="141"/>
      <c r="J101" s="142"/>
      <c r="K101" s="143" t="s">
        <v>326</v>
      </c>
      <c r="L101" s="105">
        <v>20000</v>
      </c>
      <c r="N101" s="106"/>
      <c r="O101" s="106"/>
      <c r="P101" s="106"/>
      <c r="Q101" s="106"/>
      <c r="R101" s="106"/>
      <c r="S101" s="106"/>
    </row>
    <row r="102" spans="1:19" s="105" customFormat="1" ht="37.5">
      <c r="A102" s="106"/>
      <c r="B102" s="194" t="s">
        <v>317</v>
      </c>
      <c r="C102" s="139"/>
      <c r="D102" s="140"/>
      <c r="E102" s="139"/>
      <c r="F102" s="139"/>
      <c r="G102" s="140"/>
      <c r="H102" s="139"/>
      <c r="I102" s="141"/>
      <c r="J102" s="142"/>
      <c r="K102" s="175" t="s">
        <v>327</v>
      </c>
      <c r="L102" s="105">
        <v>100000</v>
      </c>
      <c r="N102" s="106"/>
      <c r="O102" s="106"/>
      <c r="P102" s="106"/>
      <c r="Q102" s="106"/>
      <c r="R102" s="106"/>
      <c r="S102" s="106"/>
    </row>
    <row r="103" spans="1:19" s="105" customFormat="1" ht="56.25">
      <c r="A103" s="106"/>
      <c r="B103" s="194" t="s">
        <v>318</v>
      </c>
      <c r="C103" s="139"/>
      <c r="D103" s="140"/>
      <c r="E103" s="139"/>
      <c r="F103" s="139"/>
      <c r="G103" s="140"/>
      <c r="H103" s="139"/>
      <c r="I103" s="141"/>
      <c r="J103" s="142"/>
      <c r="K103" s="175" t="s">
        <v>328</v>
      </c>
      <c r="L103" s="105">
        <v>2000000</v>
      </c>
      <c r="N103" s="106"/>
      <c r="O103" s="106"/>
      <c r="P103" s="106"/>
      <c r="Q103" s="106"/>
      <c r="R103" s="106"/>
      <c r="S103" s="106"/>
    </row>
    <row r="104" spans="1:19" s="105" customFormat="1" ht="56.25">
      <c r="A104" s="106"/>
      <c r="B104" s="194" t="s">
        <v>319</v>
      </c>
      <c r="C104" s="139"/>
      <c r="D104" s="140"/>
      <c r="E104" s="139"/>
      <c r="F104" s="139"/>
      <c r="G104" s="140"/>
      <c r="H104" s="139"/>
      <c r="I104" s="141"/>
      <c r="J104" s="142"/>
      <c r="K104" s="219" t="s">
        <v>329</v>
      </c>
      <c r="L104" s="105">
        <v>2000000</v>
      </c>
      <c r="N104" s="106"/>
      <c r="O104" s="106"/>
      <c r="P104" s="106"/>
      <c r="Q104" s="106"/>
      <c r="R104" s="106"/>
      <c r="S104" s="106"/>
    </row>
    <row r="105" spans="1:19" s="105" customFormat="1" ht="37.5">
      <c r="A105" s="106"/>
      <c r="B105" s="194" t="s">
        <v>320</v>
      </c>
      <c r="C105" s="139"/>
      <c r="D105" s="140"/>
      <c r="E105" s="139"/>
      <c r="F105" s="139"/>
      <c r="G105" s="140"/>
      <c r="H105" s="139"/>
      <c r="I105" s="141">
        <f t="shared" si="10"/>
        <v>0</v>
      </c>
      <c r="J105" s="142" t="e">
        <f t="shared" si="11"/>
        <v>#DIV/0!</v>
      </c>
      <c r="K105" s="219" t="s">
        <v>330</v>
      </c>
      <c r="L105" s="105">
        <v>180000</v>
      </c>
      <c r="N105" s="106"/>
      <c r="O105" s="106"/>
      <c r="P105" s="106"/>
      <c r="Q105" s="106"/>
      <c r="R105" s="106"/>
      <c r="S105" s="106"/>
    </row>
    <row r="106" spans="1:19" s="105" customFormat="1">
      <c r="A106" s="106"/>
      <c r="B106" s="194"/>
      <c r="C106" s="139"/>
      <c r="D106" s="140"/>
      <c r="E106" s="139"/>
      <c r="F106" s="139"/>
      <c r="G106" s="140"/>
      <c r="H106" s="139"/>
      <c r="I106" s="141">
        <f t="shared" si="10"/>
        <v>0</v>
      </c>
      <c r="J106" s="142" t="e">
        <f t="shared" si="11"/>
        <v>#DIV/0!</v>
      </c>
      <c r="K106" s="315" t="s">
        <v>277</v>
      </c>
      <c r="L106" s="105">
        <v>6600</v>
      </c>
      <c r="N106" s="106"/>
      <c r="O106" s="106"/>
      <c r="P106" s="106"/>
      <c r="Q106" s="106"/>
      <c r="R106" s="106"/>
      <c r="S106" s="106"/>
    </row>
    <row r="107" spans="1:19" s="105" customFormat="1" ht="37.5">
      <c r="A107" s="106"/>
      <c r="B107" s="194"/>
      <c r="C107" s="139"/>
      <c r="D107" s="140"/>
      <c r="E107" s="139"/>
      <c r="F107" s="139"/>
      <c r="G107" s="140"/>
      <c r="H107" s="139"/>
      <c r="I107" s="141"/>
      <c r="J107" s="142"/>
      <c r="K107" s="219" t="s">
        <v>279</v>
      </c>
      <c r="L107" s="105">
        <v>239100</v>
      </c>
      <c r="N107" s="106"/>
      <c r="O107" s="106"/>
      <c r="P107" s="106"/>
      <c r="Q107" s="106"/>
      <c r="R107" s="106"/>
      <c r="S107" s="106"/>
    </row>
    <row r="108" spans="1:19" s="105" customFormat="1" ht="56.25">
      <c r="A108" s="106"/>
      <c r="B108" s="194"/>
      <c r="C108" s="139"/>
      <c r="D108" s="140"/>
      <c r="E108" s="139"/>
      <c r="F108" s="139"/>
      <c r="G108" s="140"/>
      <c r="H108" s="139"/>
      <c r="I108" s="141"/>
      <c r="J108" s="142"/>
      <c r="K108" s="219" t="s">
        <v>344</v>
      </c>
      <c r="L108" s="105">
        <v>200000</v>
      </c>
      <c r="N108" s="106"/>
      <c r="O108" s="106"/>
      <c r="P108" s="106"/>
      <c r="Q108" s="106"/>
      <c r="R108" s="106"/>
      <c r="S108" s="106"/>
    </row>
    <row r="109" spans="1:19" s="105" customFormat="1" ht="37.5">
      <c r="A109" s="106"/>
      <c r="B109" s="194"/>
      <c r="C109" s="139"/>
      <c r="D109" s="140"/>
      <c r="E109" s="139"/>
      <c r="F109" s="139"/>
      <c r="G109" s="140"/>
      <c r="H109" s="139"/>
      <c r="I109" s="141"/>
      <c r="J109" s="142"/>
      <c r="K109" s="219" t="s">
        <v>347</v>
      </c>
      <c r="L109" s="105">
        <v>325000</v>
      </c>
      <c r="N109" s="106"/>
      <c r="O109" s="106"/>
      <c r="P109" s="106"/>
      <c r="Q109" s="106"/>
      <c r="R109" s="106"/>
      <c r="S109" s="106"/>
    </row>
    <row r="110" spans="1:19" s="105" customFormat="1" ht="37.5">
      <c r="A110" s="106"/>
      <c r="B110" s="194"/>
      <c r="C110" s="139"/>
      <c r="D110" s="140"/>
      <c r="E110" s="139"/>
      <c r="F110" s="139"/>
      <c r="G110" s="140"/>
      <c r="H110" s="139"/>
      <c r="I110" s="141"/>
      <c r="J110" s="142"/>
      <c r="K110" s="219" t="s">
        <v>348</v>
      </c>
      <c r="L110" s="105">
        <v>1312500</v>
      </c>
      <c r="N110" s="106"/>
      <c r="O110" s="106"/>
      <c r="P110" s="106"/>
      <c r="Q110" s="106"/>
      <c r="R110" s="106"/>
      <c r="S110" s="106"/>
    </row>
    <row r="111" spans="1:19" s="105" customFormat="1" ht="37.5">
      <c r="A111" s="106"/>
      <c r="B111" s="194"/>
      <c r="C111" s="139"/>
      <c r="D111" s="140"/>
      <c r="E111" s="139"/>
      <c r="F111" s="139"/>
      <c r="G111" s="140"/>
      <c r="H111" s="139"/>
      <c r="I111" s="141"/>
      <c r="J111" s="142"/>
      <c r="K111" s="219" t="s">
        <v>349</v>
      </c>
      <c r="L111" s="105">
        <v>490000</v>
      </c>
      <c r="N111" s="106"/>
      <c r="O111" s="106"/>
      <c r="P111" s="106"/>
      <c r="Q111" s="106"/>
      <c r="R111" s="106"/>
      <c r="S111" s="106"/>
    </row>
    <row r="112" spans="1:19" s="105" customFormat="1">
      <c r="A112" s="106"/>
      <c r="B112" s="194"/>
      <c r="C112" s="139"/>
      <c r="D112" s="140"/>
      <c r="E112" s="139"/>
      <c r="F112" s="139"/>
      <c r="G112" s="140"/>
      <c r="H112" s="139"/>
      <c r="I112" s="141"/>
      <c r="J112" s="142"/>
      <c r="K112" s="219" t="s">
        <v>361</v>
      </c>
      <c r="L112" s="105">
        <v>100000</v>
      </c>
      <c r="N112" s="106"/>
      <c r="O112" s="106"/>
      <c r="P112" s="106"/>
      <c r="Q112" s="106"/>
      <c r="R112" s="106"/>
      <c r="S112" s="106"/>
    </row>
    <row r="113" spans="1:19" s="105" customFormat="1" ht="37.5">
      <c r="A113" s="106"/>
      <c r="B113" s="194"/>
      <c r="C113" s="139"/>
      <c r="D113" s="140"/>
      <c r="E113" s="139"/>
      <c r="F113" s="139"/>
      <c r="G113" s="140"/>
      <c r="H113" s="139"/>
      <c r="I113" s="141"/>
      <c r="J113" s="142"/>
      <c r="K113" s="219" t="s">
        <v>362</v>
      </c>
      <c r="L113" s="105">
        <v>1296000</v>
      </c>
      <c r="N113" s="106"/>
      <c r="O113" s="106"/>
      <c r="P113" s="106"/>
      <c r="Q113" s="106"/>
      <c r="R113" s="106"/>
      <c r="S113" s="106"/>
    </row>
    <row r="114" spans="1:19" s="105" customFormat="1" ht="37.5">
      <c r="A114" s="106"/>
      <c r="B114" s="194"/>
      <c r="C114" s="139"/>
      <c r="D114" s="140"/>
      <c r="E114" s="139"/>
      <c r="F114" s="139"/>
      <c r="G114" s="140"/>
      <c r="H114" s="139"/>
      <c r="I114" s="141"/>
      <c r="J114" s="142"/>
      <c r="K114" s="219" t="s">
        <v>363</v>
      </c>
      <c r="L114" s="105">
        <v>100000</v>
      </c>
      <c r="N114" s="106"/>
      <c r="O114" s="106"/>
      <c r="P114" s="106"/>
      <c r="Q114" s="106"/>
      <c r="R114" s="106"/>
      <c r="S114" s="106"/>
    </row>
    <row r="115" spans="1:19" s="105" customFormat="1" ht="37.5">
      <c r="A115" s="106"/>
      <c r="B115" s="194"/>
      <c r="C115" s="139"/>
      <c r="D115" s="140"/>
      <c r="E115" s="139"/>
      <c r="F115" s="139"/>
      <c r="G115" s="140"/>
      <c r="H115" s="139"/>
      <c r="I115" s="141"/>
      <c r="J115" s="142"/>
      <c r="K115" s="219" t="s">
        <v>364</v>
      </c>
      <c r="L115" s="105">
        <v>60000</v>
      </c>
      <c r="N115" s="106"/>
      <c r="O115" s="106"/>
      <c r="P115" s="106"/>
      <c r="Q115" s="106"/>
      <c r="R115" s="106"/>
      <c r="S115" s="106"/>
    </row>
    <row r="116" spans="1:19" s="105" customFormat="1" ht="37.5">
      <c r="A116" s="106"/>
      <c r="B116" s="194"/>
      <c r="C116" s="139"/>
      <c r="D116" s="140"/>
      <c r="E116" s="139"/>
      <c r="F116" s="139"/>
      <c r="G116" s="140"/>
      <c r="H116" s="139"/>
      <c r="I116" s="141"/>
      <c r="J116" s="142"/>
      <c r="K116" s="219" t="s">
        <v>365</v>
      </c>
      <c r="L116" s="105">
        <v>150000</v>
      </c>
      <c r="N116" s="106"/>
      <c r="O116" s="106"/>
      <c r="P116" s="106"/>
      <c r="Q116" s="106"/>
      <c r="R116" s="106"/>
      <c r="S116" s="106"/>
    </row>
    <row r="117" spans="1:19" s="105" customFormat="1">
      <c r="A117" s="106"/>
      <c r="B117" s="194"/>
      <c r="C117" s="139"/>
      <c r="D117" s="140"/>
      <c r="E117" s="139"/>
      <c r="F117" s="139"/>
      <c r="G117" s="140"/>
      <c r="H117" s="139"/>
      <c r="I117" s="141"/>
      <c r="J117" s="142"/>
      <c r="K117" s="219"/>
      <c r="N117" s="106"/>
      <c r="O117" s="106"/>
      <c r="P117" s="106"/>
      <c r="Q117" s="106"/>
      <c r="R117" s="106"/>
      <c r="S117" s="106"/>
    </row>
    <row r="118" spans="1:19" s="105" customFormat="1">
      <c r="A118" s="106"/>
      <c r="B118" s="194" t="s">
        <v>103</v>
      </c>
      <c r="C118" s="139"/>
      <c r="D118" s="140"/>
      <c r="E118" s="139">
        <f>3+1.835</f>
        <v>4.835</v>
      </c>
      <c r="F118" s="139"/>
      <c r="G118" s="140"/>
      <c r="H118" s="139">
        <v>11.4817</v>
      </c>
      <c r="I118" s="141">
        <f t="shared" si="10"/>
        <v>6.6467000000000001</v>
      </c>
      <c r="J118" s="142">
        <f t="shared" si="11"/>
        <v>57.889511135110652</v>
      </c>
      <c r="K118" s="143" t="s">
        <v>282</v>
      </c>
      <c r="L118" s="105">
        <f>SUM(L119:L122)</f>
        <v>11481700</v>
      </c>
      <c r="N118" s="106"/>
      <c r="O118" s="106"/>
      <c r="P118" s="106"/>
      <c r="Q118" s="106"/>
      <c r="R118" s="106"/>
      <c r="S118" s="106"/>
    </row>
    <row r="119" spans="1:19" s="105" customFormat="1">
      <c r="A119" s="106"/>
      <c r="B119" s="194"/>
      <c r="C119" s="139"/>
      <c r="D119" s="140"/>
      <c r="E119" s="139"/>
      <c r="F119" s="139"/>
      <c r="G119" s="140"/>
      <c r="H119" s="139"/>
      <c r="I119" s="141"/>
      <c r="J119" s="142"/>
      <c r="K119" s="315" t="s">
        <v>283</v>
      </c>
      <c r="L119" s="105">
        <v>4380300</v>
      </c>
      <c r="N119" s="106"/>
      <c r="O119" s="106"/>
      <c r="P119" s="106"/>
      <c r="Q119" s="106"/>
      <c r="R119" s="106"/>
      <c r="S119" s="106"/>
    </row>
    <row r="120" spans="1:19" s="105" customFormat="1">
      <c r="A120" s="106"/>
      <c r="B120" s="194"/>
      <c r="C120" s="139"/>
      <c r="D120" s="140"/>
      <c r="E120" s="139"/>
      <c r="F120" s="139"/>
      <c r="G120" s="140"/>
      <c r="H120" s="139"/>
      <c r="I120" s="141"/>
      <c r="J120" s="142"/>
      <c r="K120" s="143" t="s">
        <v>335</v>
      </c>
      <c r="L120" s="105">
        <v>5434300</v>
      </c>
      <c r="N120" s="106"/>
      <c r="O120" s="106"/>
      <c r="P120" s="106"/>
      <c r="Q120" s="106"/>
      <c r="R120" s="106"/>
      <c r="S120" s="106"/>
    </row>
    <row r="121" spans="1:19" s="105" customFormat="1">
      <c r="A121" s="106"/>
      <c r="B121" s="194"/>
      <c r="C121" s="139"/>
      <c r="D121" s="140"/>
      <c r="E121" s="139"/>
      <c r="F121" s="139"/>
      <c r="G121" s="140"/>
      <c r="H121" s="139"/>
      <c r="I121" s="141"/>
      <c r="J121" s="142"/>
      <c r="K121" s="143" t="s">
        <v>336</v>
      </c>
      <c r="L121" s="105">
        <v>1276500</v>
      </c>
      <c r="N121" s="106"/>
      <c r="O121" s="106"/>
      <c r="P121" s="106"/>
      <c r="Q121" s="106"/>
      <c r="R121" s="106"/>
      <c r="S121" s="106"/>
    </row>
    <row r="122" spans="1:19" s="105" customFormat="1" ht="37.5">
      <c r="A122" s="106"/>
      <c r="B122" s="194"/>
      <c r="C122" s="139"/>
      <c r="D122" s="140"/>
      <c r="E122" s="139"/>
      <c r="F122" s="139"/>
      <c r="G122" s="140"/>
      <c r="H122" s="139"/>
      <c r="I122" s="141"/>
      <c r="J122" s="142"/>
      <c r="K122" s="175" t="s">
        <v>337</v>
      </c>
      <c r="L122" s="105">
        <v>390600</v>
      </c>
      <c r="N122" s="106"/>
      <c r="O122" s="106"/>
      <c r="P122" s="106"/>
      <c r="Q122" s="106"/>
      <c r="R122" s="106"/>
      <c r="S122" s="106"/>
    </row>
    <row r="123" spans="1:19" s="105" customFormat="1" ht="56.25">
      <c r="A123" s="106"/>
      <c r="B123" s="194" t="s">
        <v>104</v>
      </c>
      <c r="C123" s="139"/>
      <c r="D123" s="140"/>
      <c r="E123" s="139">
        <v>0.5</v>
      </c>
      <c r="F123" s="139"/>
      <c r="G123" s="140"/>
      <c r="H123" s="139">
        <v>0.7833</v>
      </c>
      <c r="I123" s="141">
        <f t="shared" si="10"/>
        <v>0.2833</v>
      </c>
      <c r="J123" s="142">
        <f t="shared" si="11"/>
        <v>36.167496489212304</v>
      </c>
      <c r="K123" s="175" t="s">
        <v>338</v>
      </c>
      <c r="L123" s="105">
        <v>45000</v>
      </c>
      <c r="N123" s="106"/>
      <c r="O123" s="106"/>
      <c r="P123" s="106"/>
      <c r="Q123" s="106"/>
      <c r="R123" s="106"/>
      <c r="S123" s="106"/>
    </row>
    <row r="124" spans="1:19" s="105" customFormat="1" ht="75">
      <c r="A124" s="106"/>
      <c r="B124" s="194"/>
      <c r="C124" s="139"/>
      <c r="D124" s="140"/>
      <c r="E124" s="139"/>
      <c r="F124" s="139"/>
      <c r="G124" s="140"/>
      <c r="H124" s="139"/>
      <c r="I124" s="141"/>
      <c r="J124" s="142"/>
      <c r="K124" s="175" t="s">
        <v>339</v>
      </c>
      <c r="L124" s="105">
        <v>138300</v>
      </c>
      <c r="N124" s="106"/>
      <c r="O124" s="106"/>
      <c r="P124" s="106"/>
      <c r="Q124" s="106"/>
      <c r="R124" s="106"/>
      <c r="S124" s="106"/>
    </row>
    <row r="125" spans="1:19" s="105" customFormat="1" ht="37.5">
      <c r="A125" s="106"/>
      <c r="B125" s="194"/>
      <c r="C125" s="139"/>
      <c r="D125" s="140"/>
      <c r="E125" s="139"/>
      <c r="F125" s="139"/>
      <c r="G125" s="140"/>
      <c r="H125" s="139"/>
      <c r="I125" s="141"/>
      <c r="J125" s="142"/>
      <c r="K125" s="175" t="s">
        <v>366</v>
      </c>
      <c r="L125" s="105">
        <v>480000</v>
      </c>
      <c r="N125" s="106"/>
      <c r="O125" s="106"/>
      <c r="P125" s="106"/>
      <c r="Q125" s="106"/>
      <c r="R125" s="106"/>
      <c r="S125" s="106"/>
    </row>
    <row r="126" spans="1:19" s="105" customFormat="1" ht="56.25">
      <c r="A126" s="106"/>
      <c r="B126" s="194"/>
      <c r="C126" s="139"/>
      <c r="D126" s="140"/>
      <c r="E126" s="139"/>
      <c r="F126" s="139"/>
      <c r="G126" s="140"/>
      <c r="H126" s="139"/>
      <c r="I126" s="141"/>
      <c r="J126" s="142"/>
      <c r="K126" s="175" t="s">
        <v>367</v>
      </c>
      <c r="L126" s="105">
        <v>150000</v>
      </c>
      <c r="N126" s="106"/>
      <c r="O126" s="106"/>
      <c r="P126" s="106"/>
      <c r="Q126" s="106"/>
      <c r="R126" s="106"/>
      <c r="S126" s="106"/>
    </row>
    <row r="127" spans="1:19" s="105" customFormat="1" ht="56.25">
      <c r="A127" s="106"/>
      <c r="B127" s="194" t="s">
        <v>105</v>
      </c>
      <c r="C127" s="139"/>
      <c r="D127" s="140"/>
      <c r="E127" s="139">
        <v>1.9</v>
      </c>
      <c r="F127" s="139"/>
      <c r="G127" s="140"/>
      <c r="H127" s="139">
        <f>0.2805+2</f>
        <v>2.2805</v>
      </c>
      <c r="I127" s="141">
        <f t="shared" si="10"/>
        <v>0.38050000000000006</v>
      </c>
      <c r="J127" s="142">
        <f t="shared" si="11"/>
        <v>16.684937513703137</v>
      </c>
      <c r="K127" s="175" t="s">
        <v>407</v>
      </c>
      <c r="N127" s="106"/>
      <c r="O127" s="106"/>
      <c r="P127" s="106"/>
      <c r="Q127" s="106"/>
      <c r="R127" s="106"/>
      <c r="S127" s="106"/>
    </row>
    <row r="128" spans="1:19" s="105" customFormat="1" ht="37.5">
      <c r="A128" s="106"/>
      <c r="B128" s="194"/>
      <c r="C128" s="139"/>
      <c r="D128" s="140"/>
      <c r="E128" s="139"/>
      <c r="F128" s="139"/>
      <c r="G128" s="140"/>
      <c r="H128" s="139"/>
      <c r="I128" s="141"/>
      <c r="J128" s="142"/>
      <c r="K128" s="175" t="s">
        <v>408</v>
      </c>
      <c r="N128" s="106"/>
      <c r="O128" s="106"/>
      <c r="P128" s="106"/>
      <c r="Q128" s="106"/>
      <c r="R128" s="106"/>
      <c r="S128" s="106"/>
    </row>
    <row r="129" spans="1:19" s="105" customFormat="1" ht="56.25">
      <c r="A129" s="106"/>
      <c r="B129" s="194"/>
      <c r="C129" s="139"/>
      <c r="D129" s="140"/>
      <c r="E129" s="139"/>
      <c r="F129" s="139"/>
      <c r="G129" s="140"/>
      <c r="H129" s="139"/>
      <c r="I129" s="141"/>
      <c r="J129" s="142"/>
      <c r="K129" s="175" t="s">
        <v>409</v>
      </c>
      <c r="N129" s="106"/>
      <c r="O129" s="106"/>
      <c r="P129" s="106"/>
      <c r="Q129" s="106"/>
      <c r="R129" s="106"/>
      <c r="S129" s="106"/>
    </row>
    <row r="130" spans="1:19" s="105" customFormat="1">
      <c r="A130" s="106"/>
      <c r="B130" s="194"/>
      <c r="C130" s="139"/>
      <c r="D130" s="140"/>
      <c r="E130" s="139"/>
      <c r="F130" s="139"/>
      <c r="G130" s="140"/>
      <c r="H130" s="139"/>
      <c r="I130" s="141"/>
      <c r="J130" s="142"/>
      <c r="K130" s="175" t="s">
        <v>410</v>
      </c>
      <c r="N130" s="106"/>
      <c r="O130" s="106"/>
      <c r="P130" s="106"/>
      <c r="Q130" s="106"/>
      <c r="R130" s="106"/>
      <c r="S130" s="106"/>
    </row>
    <row r="131" spans="1:19" s="105" customFormat="1" ht="56.25">
      <c r="A131" s="106"/>
      <c r="B131" s="194" t="s">
        <v>368</v>
      </c>
      <c r="C131" s="139"/>
      <c r="D131" s="140"/>
      <c r="E131" s="139"/>
      <c r="F131" s="139"/>
      <c r="G131" s="140"/>
      <c r="H131" s="139">
        <v>2.14</v>
      </c>
      <c r="I131" s="141">
        <f t="shared" si="10"/>
        <v>2.14</v>
      </c>
      <c r="J131" s="142">
        <f t="shared" si="11"/>
        <v>100</v>
      </c>
      <c r="K131" s="175" t="s">
        <v>411</v>
      </c>
      <c r="N131" s="106"/>
      <c r="O131" s="106"/>
      <c r="P131" s="106"/>
      <c r="Q131" s="106"/>
      <c r="R131" s="106"/>
      <c r="S131" s="106"/>
    </row>
    <row r="132" spans="1:19" s="105" customFormat="1" ht="56.25">
      <c r="A132" s="106"/>
      <c r="B132" s="194"/>
      <c r="C132" s="139"/>
      <c r="D132" s="140"/>
      <c r="E132" s="139"/>
      <c r="F132" s="139"/>
      <c r="G132" s="140"/>
      <c r="H132" s="139"/>
      <c r="I132" s="141"/>
      <c r="J132" s="142"/>
      <c r="K132" s="175" t="s">
        <v>412</v>
      </c>
      <c r="N132" s="106"/>
      <c r="O132" s="106"/>
      <c r="P132" s="106"/>
      <c r="Q132" s="106"/>
      <c r="R132" s="106"/>
      <c r="S132" s="106"/>
    </row>
    <row r="133" spans="1:19" s="105" customFormat="1" ht="56.25">
      <c r="A133" s="106"/>
      <c r="B133" s="194"/>
      <c r="C133" s="139"/>
      <c r="D133" s="140"/>
      <c r="E133" s="139"/>
      <c r="F133" s="139"/>
      <c r="G133" s="140"/>
      <c r="H133" s="139"/>
      <c r="I133" s="141"/>
      <c r="J133" s="142"/>
      <c r="K133" s="175" t="s">
        <v>413</v>
      </c>
      <c r="N133" s="106"/>
      <c r="O133" s="106"/>
      <c r="P133" s="106"/>
      <c r="Q133" s="106"/>
      <c r="R133" s="106"/>
      <c r="S133" s="106"/>
    </row>
    <row r="134" spans="1:19" s="105" customFormat="1" ht="40.5">
      <c r="A134" s="106"/>
      <c r="B134" s="175" t="s">
        <v>69</v>
      </c>
      <c r="C134" s="139"/>
      <c r="D134" s="140"/>
      <c r="E134" s="139"/>
      <c r="F134" s="139"/>
      <c r="G134" s="140"/>
      <c r="H134" s="139">
        <v>2.7528000000000001</v>
      </c>
      <c r="I134" s="141">
        <f t="shared" si="10"/>
        <v>2.7528000000000001</v>
      </c>
      <c r="J134" s="142">
        <f t="shared" si="11"/>
        <v>100</v>
      </c>
      <c r="K134" s="143"/>
      <c r="N134" s="106"/>
      <c r="O134" s="106"/>
      <c r="P134" s="106"/>
      <c r="Q134" s="106"/>
      <c r="R134" s="106"/>
      <c r="S134" s="106"/>
    </row>
    <row r="135" spans="1:19" s="105" customFormat="1">
      <c r="A135" s="106"/>
      <c r="B135" s="194" t="s">
        <v>2</v>
      </c>
      <c r="C135" s="139"/>
      <c r="D135" s="140"/>
      <c r="E135" s="139"/>
      <c r="F135" s="139"/>
      <c r="G135" s="140"/>
      <c r="H135" s="139"/>
      <c r="I135" s="141"/>
      <c r="J135" s="142"/>
      <c r="K135" s="143"/>
      <c r="N135" s="106"/>
      <c r="O135" s="106"/>
      <c r="P135" s="106"/>
      <c r="Q135" s="106"/>
      <c r="R135" s="106"/>
      <c r="S135" s="106"/>
    </row>
    <row r="136" spans="1:19" s="105" customFormat="1">
      <c r="A136" s="106"/>
      <c r="B136" s="194" t="s">
        <v>3</v>
      </c>
      <c r="C136" s="139"/>
      <c r="D136" s="140"/>
      <c r="E136" s="139"/>
      <c r="F136" s="139"/>
      <c r="G136" s="140"/>
      <c r="H136" s="139"/>
      <c r="I136" s="141"/>
      <c r="J136" s="142"/>
      <c r="K136" s="143"/>
      <c r="L136" s="105">
        <f>SUM(L137:L142)</f>
        <v>2752800</v>
      </c>
      <c r="N136" s="106"/>
      <c r="O136" s="106"/>
      <c r="P136" s="106"/>
      <c r="Q136" s="106"/>
      <c r="R136" s="106"/>
      <c r="S136" s="106"/>
    </row>
    <row r="137" spans="1:19" s="105" customFormat="1" ht="93.75">
      <c r="A137" s="106"/>
      <c r="B137" s="194" t="s">
        <v>342</v>
      </c>
      <c r="C137" s="139"/>
      <c r="D137" s="140"/>
      <c r="E137" s="139"/>
      <c r="F137" s="139"/>
      <c r="G137" s="140"/>
      <c r="H137" s="139"/>
      <c r="I137" s="141"/>
      <c r="J137" s="142"/>
      <c r="K137" s="219" t="s">
        <v>331</v>
      </c>
      <c r="L137" s="105">
        <v>940000</v>
      </c>
      <c r="N137" s="106"/>
      <c r="O137" s="106"/>
      <c r="P137" s="106"/>
      <c r="Q137" s="106"/>
      <c r="R137" s="106"/>
      <c r="S137" s="106"/>
    </row>
    <row r="138" spans="1:19" s="105" customFormat="1" ht="56.25">
      <c r="A138" s="106"/>
      <c r="B138" s="194" t="s">
        <v>341</v>
      </c>
      <c r="C138" s="139"/>
      <c r="D138" s="140"/>
      <c r="E138" s="139"/>
      <c r="F138" s="139"/>
      <c r="G138" s="140"/>
      <c r="H138" s="139"/>
      <c r="I138" s="141"/>
      <c r="J138" s="142"/>
      <c r="K138" s="219" t="s">
        <v>278</v>
      </c>
      <c r="L138" s="105">
        <v>168800</v>
      </c>
      <c r="N138" s="106"/>
      <c r="O138" s="106"/>
      <c r="P138" s="106"/>
      <c r="Q138" s="106"/>
      <c r="R138" s="106"/>
      <c r="S138" s="106"/>
    </row>
    <row r="139" spans="1:19" s="105" customFormat="1" ht="37.5">
      <c r="A139" s="106"/>
      <c r="B139" s="194" t="s">
        <v>340</v>
      </c>
      <c r="C139" s="139"/>
      <c r="D139" s="140"/>
      <c r="E139" s="139"/>
      <c r="F139" s="139"/>
      <c r="G139" s="140"/>
      <c r="H139" s="139"/>
      <c r="I139" s="141"/>
      <c r="J139" s="142"/>
      <c r="K139" s="219" t="s">
        <v>343</v>
      </c>
      <c r="L139" s="105">
        <v>180000</v>
      </c>
      <c r="N139" s="106"/>
      <c r="O139" s="106"/>
      <c r="P139" s="106"/>
      <c r="Q139" s="106"/>
      <c r="R139" s="106"/>
      <c r="S139" s="106"/>
    </row>
    <row r="140" spans="1:19" s="105" customFormat="1" ht="37.5">
      <c r="A140" s="106"/>
      <c r="B140" s="194" t="s">
        <v>345</v>
      </c>
      <c r="C140" s="139"/>
      <c r="D140" s="140"/>
      <c r="E140" s="139"/>
      <c r="F140" s="139"/>
      <c r="G140" s="140"/>
      <c r="H140" s="139"/>
      <c r="I140" s="141"/>
      <c r="J140" s="142"/>
      <c r="K140" s="219" t="s">
        <v>346</v>
      </c>
      <c r="L140" s="105">
        <v>384000</v>
      </c>
      <c r="N140" s="106"/>
      <c r="O140" s="106"/>
      <c r="P140" s="106"/>
      <c r="Q140" s="106"/>
      <c r="R140" s="106"/>
      <c r="S140" s="106"/>
    </row>
    <row r="141" spans="1:19" s="105" customFormat="1" ht="75">
      <c r="A141" s="106"/>
      <c r="B141" s="194" t="s">
        <v>356</v>
      </c>
      <c r="C141" s="139"/>
      <c r="D141" s="140"/>
      <c r="E141" s="139"/>
      <c r="F141" s="139"/>
      <c r="G141" s="140"/>
      <c r="H141" s="139"/>
      <c r="I141" s="141"/>
      <c r="J141" s="142"/>
      <c r="K141" s="219" t="s">
        <v>357</v>
      </c>
      <c r="L141" s="105">
        <v>360000</v>
      </c>
      <c r="N141" s="106"/>
      <c r="O141" s="106"/>
      <c r="P141" s="106"/>
      <c r="Q141" s="106"/>
      <c r="R141" s="106"/>
      <c r="S141" s="106"/>
    </row>
    <row r="142" spans="1:19" s="105" customFormat="1" ht="53.25" customHeight="1">
      <c r="A142" s="106"/>
      <c r="B142" s="194" t="s">
        <v>360</v>
      </c>
      <c r="C142" s="139"/>
      <c r="D142" s="140"/>
      <c r="E142" s="139"/>
      <c r="F142" s="139"/>
      <c r="G142" s="140"/>
      <c r="H142" s="139"/>
      <c r="I142" s="141"/>
      <c r="J142" s="142"/>
      <c r="K142" s="219" t="s">
        <v>359</v>
      </c>
      <c r="L142" s="105">
        <v>720000</v>
      </c>
      <c r="N142" s="106"/>
      <c r="O142" s="106"/>
      <c r="P142" s="106"/>
      <c r="Q142" s="106"/>
      <c r="R142" s="106"/>
      <c r="S142" s="106"/>
    </row>
    <row r="143" spans="1:19" s="105" customFormat="1">
      <c r="A143" s="106"/>
      <c r="B143" s="175" t="s">
        <v>22</v>
      </c>
      <c r="C143" s="139"/>
      <c r="D143" s="140"/>
      <c r="E143" s="139"/>
      <c r="F143" s="139"/>
      <c r="G143" s="140"/>
      <c r="H143" s="139"/>
      <c r="I143" s="141"/>
      <c r="J143" s="142"/>
      <c r="K143" s="143"/>
      <c r="N143" s="106"/>
      <c r="O143" s="106"/>
      <c r="P143" s="106"/>
      <c r="Q143" s="106"/>
      <c r="R143" s="106"/>
      <c r="S143" s="106"/>
    </row>
    <row r="144" spans="1:19" s="105" customFormat="1">
      <c r="A144" s="106"/>
      <c r="B144" s="194" t="s">
        <v>21</v>
      </c>
      <c r="C144" s="139"/>
      <c r="D144" s="140"/>
      <c r="E144" s="139"/>
      <c r="F144" s="139"/>
      <c r="G144" s="140"/>
      <c r="H144" s="139"/>
      <c r="I144" s="141"/>
      <c r="J144" s="142"/>
      <c r="K144" s="143"/>
      <c r="N144" s="106"/>
      <c r="O144" s="106"/>
      <c r="P144" s="106"/>
      <c r="Q144" s="106"/>
      <c r="R144" s="106"/>
      <c r="S144" s="106"/>
    </row>
    <row r="145" spans="1:19" s="105" customFormat="1">
      <c r="A145" s="106"/>
      <c r="B145" s="175" t="s">
        <v>20</v>
      </c>
      <c r="C145" s="139"/>
      <c r="D145" s="140"/>
      <c r="E145" s="139"/>
      <c r="F145" s="139"/>
      <c r="G145" s="140"/>
      <c r="H145" s="139"/>
      <c r="I145" s="141"/>
      <c r="J145" s="142"/>
      <c r="K145" s="143"/>
      <c r="N145" s="106"/>
      <c r="O145" s="106"/>
      <c r="P145" s="106"/>
      <c r="Q145" s="106"/>
      <c r="R145" s="106"/>
      <c r="S145" s="106"/>
    </row>
    <row r="146" spans="1:19" s="105" customFormat="1">
      <c r="A146" s="106"/>
      <c r="B146" s="194" t="s">
        <v>17</v>
      </c>
      <c r="C146" s="139"/>
      <c r="D146" s="140"/>
      <c r="E146" s="139"/>
      <c r="F146" s="139"/>
      <c r="G146" s="140"/>
      <c r="H146" s="139"/>
      <c r="I146" s="141"/>
      <c r="J146" s="142"/>
      <c r="K146" s="143"/>
      <c r="N146" s="106"/>
      <c r="O146" s="106"/>
      <c r="P146" s="106"/>
      <c r="Q146" s="106"/>
      <c r="R146" s="106"/>
      <c r="S146" s="106"/>
    </row>
    <row r="147" spans="1:19" s="105" customFormat="1">
      <c r="A147" s="106"/>
      <c r="B147" s="175" t="s">
        <v>44</v>
      </c>
      <c r="C147" s="139"/>
      <c r="D147" s="140"/>
      <c r="E147" s="139">
        <f>SUM(E148:E157)</f>
        <v>3.5206</v>
      </c>
      <c r="F147" s="139"/>
      <c r="G147" s="140"/>
      <c r="H147" s="139">
        <f>SUM(H148:H159)</f>
        <v>3.3208000000000002</v>
      </c>
      <c r="I147" s="141">
        <f t="shared" ref="I147:I207" si="12">+H147-E147</f>
        <v>-0.19979999999999976</v>
      </c>
      <c r="J147" s="142">
        <f t="shared" ref="J147:J207" si="13">+I147*100/H147</f>
        <v>-6.0166225006022565</v>
      </c>
      <c r="K147" s="143"/>
      <c r="N147" s="106"/>
      <c r="O147" s="106"/>
      <c r="P147" s="106"/>
      <c r="Q147" s="106"/>
      <c r="R147" s="106"/>
      <c r="S147" s="106"/>
    </row>
    <row r="148" spans="1:19" s="105" customFormat="1">
      <c r="A148" s="106"/>
      <c r="B148" s="194" t="s">
        <v>90</v>
      </c>
      <c r="C148" s="139"/>
      <c r="D148" s="140"/>
      <c r="E148" s="139">
        <v>1.9440999999999999</v>
      </c>
      <c r="F148" s="139"/>
      <c r="G148" s="140"/>
      <c r="H148" s="139">
        <v>1.4308000000000001</v>
      </c>
      <c r="I148" s="141">
        <f t="shared" si="12"/>
        <v>-0.51329999999999987</v>
      </c>
      <c r="J148" s="142">
        <f t="shared" si="13"/>
        <v>-35.875034945485034</v>
      </c>
      <c r="K148" s="143" t="s">
        <v>284</v>
      </c>
      <c r="L148" s="105">
        <f>SUM(L149:L152)</f>
        <v>1430800</v>
      </c>
      <c r="N148" s="106"/>
      <c r="O148" s="106"/>
      <c r="P148" s="106"/>
      <c r="Q148" s="106"/>
      <c r="R148" s="106"/>
      <c r="S148" s="106"/>
    </row>
    <row r="149" spans="1:19" s="105" customFormat="1">
      <c r="A149" s="106"/>
      <c r="B149" s="194"/>
      <c r="C149" s="139"/>
      <c r="D149" s="140"/>
      <c r="E149" s="139"/>
      <c r="F149" s="139"/>
      <c r="G149" s="140"/>
      <c r="H149" s="139"/>
      <c r="I149" s="141"/>
      <c r="J149" s="142"/>
      <c r="K149" s="315" t="s">
        <v>285</v>
      </c>
      <c r="L149" s="105">
        <v>166300</v>
      </c>
      <c r="N149" s="106"/>
      <c r="O149" s="106"/>
      <c r="P149" s="106"/>
      <c r="Q149" s="106"/>
      <c r="R149" s="106"/>
      <c r="S149" s="106"/>
    </row>
    <row r="150" spans="1:19" s="105" customFormat="1" ht="37.5">
      <c r="A150" s="106"/>
      <c r="B150" s="194"/>
      <c r="C150" s="139"/>
      <c r="D150" s="140"/>
      <c r="E150" s="139"/>
      <c r="F150" s="139"/>
      <c r="G150" s="140"/>
      <c r="H150" s="139"/>
      <c r="I150" s="141"/>
      <c r="J150" s="142"/>
      <c r="K150" s="175" t="s">
        <v>332</v>
      </c>
      <c r="L150" s="105">
        <v>1000000</v>
      </c>
      <c r="N150" s="106"/>
      <c r="O150" s="106"/>
      <c r="P150" s="106"/>
      <c r="Q150" s="106"/>
      <c r="R150" s="106"/>
      <c r="S150" s="106"/>
    </row>
    <row r="151" spans="1:19" s="105" customFormat="1">
      <c r="A151" s="106"/>
      <c r="B151" s="194"/>
      <c r="C151" s="139"/>
      <c r="D151" s="140"/>
      <c r="E151" s="139"/>
      <c r="F151" s="139"/>
      <c r="G151" s="140"/>
      <c r="H151" s="139"/>
      <c r="I151" s="141"/>
      <c r="J151" s="142"/>
      <c r="K151" s="143" t="s">
        <v>351</v>
      </c>
      <c r="L151" s="105">
        <v>250000</v>
      </c>
      <c r="N151" s="106"/>
      <c r="O151" s="106"/>
      <c r="P151" s="106"/>
      <c r="Q151" s="106"/>
      <c r="R151" s="106"/>
      <c r="S151" s="106"/>
    </row>
    <row r="152" spans="1:19" s="105" customFormat="1">
      <c r="A152" s="106"/>
      <c r="B152" s="194"/>
      <c r="C152" s="139"/>
      <c r="D152" s="140"/>
      <c r="E152" s="139"/>
      <c r="F152" s="139"/>
      <c r="G152" s="140"/>
      <c r="H152" s="139"/>
      <c r="I152" s="141"/>
      <c r="J152" s="142"/>
      <c r="K152" s="143" t="s">
        <v>358</v>
      </c>
      <c r="L152" s="105">
        <v>14500</v>
      </c>
      <c r="N152" s="106"/>
      <c r="O152" s="106"/>
      <c r="P152" s="106"/>
      <c r="Q152" s="106"/>
      <c r="R152" s="106"/>
      <c r="S152" s="106"/>
    </row>
    <row r="153" spans="1:19" s="105" customFormat="1">
      <c r="A153" s="106"/>
      <c r="B153" s="194"/>
      <c r="C153" s="139"/>
      <c r="D153" s="140"/>
      <c r="E153" s="139"/>
      <c r="F153" s="139"/>
      <c r="G153" s="140"/>
      <c r="H153" s="139"/>
      <c r="I153" s="141"/>
      <c r="J153" s="142"/>
      <c r="K153" s="143"/>
      <c r="N153" s="106"/>
      <c r="O153" s="106"/>
      <c r="P153" s="106"/>
      <c r="Q153" s="106"/>
      <c r="R153" s="106"/>
      <c r="S153" s="106"/>
    </row>
    <row r="154" spans="1:19" s="105" customFormat="1" ht="37.5">
      <c r="A154" s="106"/>
      <c r="B154" s="194" t="s">
        <v>91</v>
      </c>
      <c r="C154" s="139"/>
      <c r="D154" s="140"/>
      <c r="E154" s="139">
        <v>1.4659</v>
      </c>
      <c r="F154" s="139"/>
      <c r="G154" s="140"/>
      <c r="H154" s="139">
        <f>1+0.25+0.105+0.2+0.02+0.18</f>
        <v>1.7549999999999999</v>
      </c>
      <c r="I154" s="141">
        <f t="shared" si="12"/>
        <v>0.28909999999999991</v>
      </c>
      <c r="J154" s="142">
        <f t="shared" si="13"/>
        <v>16.472934472934469</v>
      </c>
      <c r="K154" s="175" t="s">
        <v>334</v>
      </c>
      <c r="N154" s="106"/>
      <c r="O154" s="106"/>
      <c r="P154" s="106"/>
      <c r="Q154" s="106"/>
      <c r="R154" s="106"/>
      <c r="S154" s="106"/>
    </row>
    <row r="155" spans="1:19" s="105" customFormat="1">
      <c r="A155" s="106"/>
      <c r="B155" s="194"/>
      <c r="C155" s="139"/>
      <c r="D155" s="140"/>
      <c r="E155" s="139"/>
      <c r="F155" s="139"/>
      <c r="G155" s="140"/>
      <c r="H155" s="139"/>
      <c r="I155" s="141"/>
      <c r="J155" s="142"/>
      <c r="K155" s="175" t="s">
        <v>369</v>
      </c>
      <c r="N155" s="106"/>
      <c r="O155" s="106"/>
      <c r="P155" s="106"/>
      <c r="Q155" s="106"/>
      <c r="R155" s="106"/>
      <c r="S155" s="106"/>
    </row>
    <row r="156" spans="1:19" s="105" customFormat="1">
      <c r="A156" s="106"/>
      <c r="B156" s="194"/>
      <c r="C156" s="139"/>
      <c r="D156" s="140"/>
      <c r="E156" s="139"/>
      <c r="F156" s="139"/>
      <c r="G156" s="140"/>
      <c r="H156" s="139"/>
      <c r="I156" s="141"/>
      <c r="J156" s="142"/>
      <c r="K156" s="175"/>
      <c r="N156" s="106"/>
      <c r="O156" s="106"/>
      <c r="P156" s="106"/>
      <c r="Q156" s="106"/>
      <c r="R156" s="106"/>
      <c r="S156" s="106"/>
    </row>
    <row r="157" spans="1:19" s="105" customFormat="1">
      <c r="A157" s="106"/>
      <c r="B157" s="194" t="s">
        <v>115</v>
      </c>
      <c r="C157" s="139"/>
      <c r="D157" s="140"/>
      <c r="E157" s="139">
        <v>0.1106</v>
      </c>
      <c r="F157" s="139"/>
      <c r="G157" s="140"/>
      <c r="H157" s="139">
        <v>1.4999999999999999E-2</v>
      </c>
      <c r="I157" s="141">
        <f t="shared" si="12"/>
        <v>-9.5600000000000004E-2</v>
      </c>
      <c r="J157" s="142">
        <f t="shared" si="13"/>
        <v>-637.33333333333337</v>
      </c>
      <c r="K157" s="143" t="s">
        <v>352</v>
      </c>
      <c r="N157" s="106"/>
      <c r="O157" s="106"/>
      <c r="P157" s="106"/>
      <c r="Q157" s="106"/>
      <c r="R157" s="106"/>
      <c r="S157" s="106"/>
    </row>
    <row r="158" spans="1:19" s="105" customFormat="1" ht="75">
      <c r="A158" s="106"/>
      <c r="B158" s="194" t="s">
        <v>135</v>
      </c>
      <c r="C158" s="139"/>
      <c r="D158" s="140"/>
      <c r="E158" s="139"/>
      <c r="F158" s="139"/>
      <c r="G158" s="140"/>
      <c r="H158" s="139">
        <f>0.12</f>
        <v>0.12</v>
      </c>
      <c r="I158" s="141">
        <f t="shared" si="12"/>
        <v>0.12</v>
      </c>
      <c r="J158" s="142">
        <f t="shared" si="13"/>
        <v>100</v>
      </c>
      <c r="K158" s="175" t="s">
        <v>333</v>
      </c>
      <c r="N158" s="106"/>
      <c r="O158" s="106"/>
      <c r="P158" s="106"/>
      <c r="Q158" s="106"/>
      <c r="R158" s="106"/>
      <c r="S158" s="106"/>
    </row>
    <row r="159" spans="1:19" s="105" customFormat="1">
      <c r="A159" s="106"/>
      <c r="B159" s="194"/>
      <c r="C159" s="139"/>
      <c r="D159" s="140"/>
      <c r="E159" s="139"/>
      <c r="F159" s="139"/>
      <c r="G159" s="140"/>
      <c r="H159" s="139"/>
      <c r="I159" s="141"/>
      <c r="J159" s="142"/>
      <c r="K159" s="143"/>
      <c r="N159" s="106"/>
      <c r="O159" s="106"/>
      <c r="P159" s="106"/>
      <c r="Q159" s="106"/>
      <c r="R159" s="106"/>
      <c r="S159" s="106"/>
    </row>
    <row r="160" spans="1:19" s="105" customFormat="1">
      <c r="A160" s="106"/>
      <c r="B160" s="175" t="s">
        <v>45</v>
      </c>
      <c r="C160" s="139"/>
      <c r="D160" s="140"/>
      <c r="E160" s="139">
        <f>SUM(E161:E165)</f>
        <v>6.7859000000000007</v>
      </c>
      <c r="F160" s="139"/>
      <c r="G160" s="140"/>
      <c r="H160" s="139">
        <f>SUM(H161:H165)</f>
        <v>9.4137000000000004</v>
      </c>
      <c r="I160" s="141">
        <f t="shared" si="12"/>
        <v>2.6277999999999997</v>
      </c>
      <c r="J160" s="142">
        <f t="shared" si="13"/>
        <v>27.914635053167189</v>
      </c>
      <c r="K160" s="143" t="s">
        <v>267</v>
      </c>
      <c r="N160" s="106"/>
      <c r="O160" s="106"/>
      <c r="P160" s="106"/>
      <c r="Q160" s="106"/>
      <c r="R160" s="106"/>
      <c r="S160" s="106"/>
    </row>
    <row r="161" spans="1:19" s="105" customFormat="1">
      <c r="A161" s="106"/>
      <c r="B161" s="317" t="s">
        <v>106</v>
      </c>
      <c r="C161" s="139"/>
      <c r="D161" s="140"/>
      <c r="E161" s="139">
        <v>1.456</v>
      </c>
      <c r="F161" s="139"/>
      <c r="G161" s="140"/>
      <c r="H161" s="139">
        <f>2.0867+0.636</f>
        <v>2.7227000000000001</v>
      </c>
      <c r="I161" s="141">
        <f t="shared" si="12"/>
        <v>1.2667000000000002</v>
      </c>
      <c r="J161" s="142">
        <f t="shared" si="13"/>
        <v>46.523671355639628</v>
      </c>
      <c r="K161" s="175" t="s">
        <v>268</v>
      </c>
      <c r="N161" s="106"/>
      <c r="O161" s="106"/>
      <c r="P161" s="106"/>
      <c r="Q161" s="106"/>
      <c r="R161" s="106"/>
      <c r="S161" s="106"/>
    </row>
    <row r="162" spans="1:19" s="105" customFormat="1">
      <c r="A162" s="106"/>
      <c r="B162" s="317" t="s">
        <v>107</v>
      </c>
      <c r="C162" s="139"/>
      <c r="D162" s="140"/>
      <c r="E162" s="139">
        <v>1.4</v>
      </c>
      <c r="F162" s="139"/>
      <c r="G162" s="140"/>
      <c r="H162" s="139">
        <v>0.5</v>
      </c>
      <c r="I162" s="141">
        <f t="shared" si="12"/>
        <v>-0.89999999999999991</v>
      </c>
      <c r="J162" s="142">
        <f t="shared" si="13"/>
        <v>-179.99999999999997</v>
      </c>
      <c r="K162" s="143" t="s">
        <v>269</v>
      </c>
      <c r="N162" s="106"/>
      <c r="O162" s="106"/>
      <c r="P162" s="106"/>
      <c r="Q162" s="106"/>
      <c r="R162" s="106"/>
      <c r="S162" s="106"/>
    </row>
    <row r="163" spans="1:19" s="105" customFormat="1">
      <c r="A163" s="106"/>
      <c r="B163" s="317" t="s">
        <v>265</v>
      </c>
      <c r="C163" s="139"/>
      <c r="D163" s="140"/>
      <c r="E163" s="139">
        <v>3.4799000000000002</v>
      </c>
      <c r="F163" s="139"/>
      <c r="G163" s="140"/>
      <c r="H163" s="139">
        <v>5.7110000000000003</v>
      </c>
      <c r="I163" s="141">
        <f t="shared" si="12"/>
        <v>2.2311000000000001</v>
      </c>
      <c r="J163" s="142">
        <f t="shared" si="13"/>
        <v>39.066713360182106</v>
      </c>
      <c r="K163" s="143" t="s">
        <v>270</v>
      </c>
      <c r="N163" s="106"/>
      <c r="O163" s="106"/>
      <c r="P163" s="106"/>
      <c r="Q163" s="106"/>
      <c r="R163" s="106"/>
      <c r="S163" s="106"/>
    </row>
    <row r="164" spans="1:19" s="105" customFormat="1">
      <c r="A164" s="106"/>
      <c r="B164" s="194" t="s">
        <v>266</v>
      </c>
      <c r="C164" s="139"/>
      <c r="D164" s="140"/>
      <c r="E164" s="139">
        <v>0.4</v>
      </c>
      <c r="F164" s="139"/>
      <c r="G164" s="140"/>
      <c r="H164" s="139">
        <v>0.43</v>
      </c>
      <c r="I164" s="141">
        <f t="shared" si="12"/>
        <v>2.9999999999999971E-2</v>
      </c>
      <c r="J164" s="142">
        <f t="shared" si="13"/>
        <v>6.9767441860465054</v>
      </c>
      <c r="K164" s="143"/>
      <c r="N164" s="106"/>
      <c r="O164" s="106"/>
      <c r="P164" s="106"/>
      <c r="Q164" s="106"/>
      <c r="R164" s="106"/>
      <c r="S164" s="106"/>
    </row>
    <row r="165" spans="1:19" s="105" customFormat="1">
      <c r="A165" s="106"/>
      <c r="B165" s="194" t="s">
        <v>111</v>
      </c>
      <c r="C165" s="139"/>
      <c r="D165" s="140"/>
      <c r="E165" s="139">
        <v>0.05</v>
      </c>
      <c r="F165" s="139"/>
      <c r="G165" s="140"/>
      <c r="H165" s="139">
        <v>0.05</v>
      </c>
      <c r="I165" s="141">
        <f t="shared" si="12"/>
        <v>0</v>
      </c>
      <c r="J165" s="142">
        <f t="shared" si="13"/>
        <v>0</v>
      </c>
      <c r="K165" s="143" t="s">
        <v>271</v>
      </c>
      <c r="N165" s="106"/>
      <c r="O165" s="106"/>
      <c r="P165" s="106"/>
      <c r="Q165" s="106"/>
      <c r="R165" s="106"/>
      <c r="S165" s="106"/>
    </row>
    <row r="166" spans="1:19" s="105" customFormat="1">
      <c r="A166" s="106"/>
      <c r="B166" s="194"/>
      <c r="C166" s="139"/>
      <c r="D166" s="140"/>
      <c r="E166" s="139"/>
      <c r="F166" s="139"/>
      <c r="G166" s="140"/>
      <c r="H166" s="139"/>
      <c r="I166" s="141"/>
      <c r="J166" s="142"/>
      <c r="K166" s="175"/>
      <c r="N166" s="106"/>
      <c r="O166" s="106"/>
      <c r="P166" s="106"/>
      <c r="Q166" s="106"/>
      <c r="R166" s="106"/>
      <c r="S166" s="106"/>
    </row>
    <row r="167" spans="1:19" s="105" customFormat="1">
      <c r="A167" s="106"/>
      <c r="B167" s="175" t="s">
        <v>46</v>
      </c>
      <c r="C167" s="139"/>
      <c r="D167" s="140"/>
      <c r="E167" s="139">
        <f>+E168+E179</f>
        <v>0.47699999999999998</v>
      </c>
      <c r="F167" s="139"/>
      <c r="G167" s="140"/>
      <c r="H167" s="139">
        <f>+H168+H179</f>
        <v>5.0461999999999998</v>
      </c>
      <c r="I167" s="141">
        <f t="shared" si="12"/>
        <v>4.5691999999999995</v>
      </c>
      <c r="J167" s="142">
        <f t="shared" si="13"/>
        <v>90.547342554793701</v>
      </c>
      <c r="K167" s="143"/>
      <c r="N167" s="106"/>
      <c r="O167" s="106"/>
      <c r="P167" s="106"/>
      <c r="Q167" s="106"/>
      <c r="R167" s="106"/>
      <c r="S167" s="106"/>
    </row>
    <row r="168" spans="1:19" s="105" customFormat="1">
      <c r="A168" s="106"/>
      <c r="B168" s="175" t="s">
        <v>47</v>
      </c>
      <c r="C168" s="139"/>
      <c r="D168" s="140"/>
      <c r="E168" s="139">
        <f>+E170</f>
        <v>0.47699999999999998</v>
      </c>
      <c r="F168" s="139"/>
      <c r="G168" s="140"/>
      <c r="H168" s="139">
        <f>+H170</f>
        <v>5.0461999999999998</v>
      </c>
      <c r="I168" s="141">
        <f t="shared" si="12"/>
        <v>4.5691999999999995</v>
      </c>
      <c r="J168" s="142">
        <f t="shared" si="13"/>
        <v>90.547342554793701</v>
      </c>
      <c r="K168" s="143"/>
      <c r="N168" s="106"/>
      <c r="O168" s="106"/>
      <c r="P168" s="106"/>
      <c r="Q168" s="106"/>
      <c r="R168" s="106"/>
      <c r="S168" s="106"/>
    </row>
    <row r="169" spans="1:19" s="105" customFormat="1">
      <c r="A169" s="106"/>
      <c r="B169" s="175" t="s">
        <v>19</v>
      </c>
      <c r="C169" s="139"/>
      <c r="D169" s="140"/>
      <c r="E169" s="139"/>
      <c r="F169" s="139"/>
      <c r="G169" s="140"/>
      <c r="H169" s="139"/>
      <c r="I169" s="141"/>
      <c r="J169" s="142"/>
      <c r="K169" s="143"/>
      <c r="N169" s="106"/>
      <c r="O169" s="106"/>
      <c r="P169" s="106"/>
      <c r="Q169" s="106"/>
      <c r="R169" s="106"/>
      <c r="S169" s="106"/>
    </row>
    <row r="170" spans="1:19" s="105" customFormat="1" ht="56.25">
      <c r="A170" s="106"/>
      <c r="B170" s="175" t="s">
        <v>110</v>
      </c>
      <c r="C170" s="139"/>
      <c r="D170" s="140"/>
      <c r="E170" s="139">
        <v>0.47699999999999998</v>
      </c>
      <c r="F170" s="139"/>
      <c r="G170" s="140"/>
      <c r="H170" s="139">
        <v>5.0461999999999998</v>
      </c>
      <c r="I170" s="141">
        <f t="shared" si="12"/>
        <v>4.5691999999999995</v>
      </c>
      <c r="J170" s="142">
        <f t="shared" si="13"/>
        <v>90.547342554793701</v>
      </c>
      <c r="K170" s="175" t="s">
        <v>372</v>
      </c>
      <c r="L170" s="105">
        <f>+L171+L172</f>
        <v>0</v>
      </c>
      <c r="N170" s="106"/>
      <c r="O170" s="106"/>
      <c r="P170" s="106"/>
      <c r="Q170" s="106"/>
      <c r="R170" s="106"/>
      <c r="S170" s="106"/>
    </row>
    <row r="171" spans="1:19" s="105" customFormat="1">
      <c r="A171" s="106"/>
      <c r="B171" s="194" t="s">
        <v>354</v>
      </c>
      <c r="C171" s="139"/>
      <c r="D171" s="140"/>
      <c r="E171" s="139"/>
      <c r="F171" s="139"/>
      <c r="G171" s="140"/>
      <c r="H171" s="139"/>
      <c r="I171" s="141"/>
      <c r="J171" s="142"/>
      <c r="K171" s="143"/>
      <c r="N171" s="106"/>
      <c r="O171" s="106"/>
      <c r="P171" s="106"/>
      <c r="Q171" s="106"/>
      <c r="R171" s="106"/>
      <c r="S171" s="106"/>
    </row>
    <row r="172" spans="1:19" s="105" customFormat="1">
      <c r="A172" s="106"/>
      <c r="B172" s="194" t="s">
        <v>18</v>
      </c>
      <c r="C172" s="139"/>
      <c r="D172" s="140"/>
      <c r="E172" s="139"/>
      <c r="F172" s="139"/>
      <c r="G172" s="140"/>
      <c r="H172" s="139"/>
      <c r="I172" s="141"/>
      <c r="J172" s="142"/>
      <c r="K172" s="143"/>
      <c r="N172" s="106"/>
      <c r="O172" s="106"/>
      <c r="P172" s="106"/>
      <c r="Q172" s="106"/>
      <c r="R172" s="106"/>
      <c r="S172" s="106"/>
    </row>
    <row r="173" spans="1:19" s="105" customFormat="1">
      <c r="A173" s="106"/>
      <c r="B173" s="175" t="s">
        <v>22</v>
      </c>
      <c r="C173" s="139"/>
      <c r="D173" s="140"/>
      <c r="E173" s="139"/>
      <c r="F173" s="139"/>
      <c r="G173" s="140"/>
      <c r="H173" s="139"/>
      <c r="I173" s="141"/>
      <c r="J173" s="142"/>
      <c r="K173" s="143"/>
      <c r="N173" s="106"/>
      <c r="O173" s="106"/>
      <c r="P173" s="106"/>
      <c r="Q173" s="106"/>
      <c r="R173" s="106"/>
      <c r="S173" s="106"/>
    </row>
    <row r="174" spans="1:19" s="105" customFormat="1">
      <c r="A174" s="106"/>
      <c r="B174" s="175" t="s">
        <v>48</v>
      </c>
      <c r="C174" s="139"/>
      <c r="D174" s="140"/>
      <c r="E174" s="139"/>
      <c r="F174" s="139"/>
      <c r="G174" s="140"/>
      <c r="H174" s="139"/>
      <c r="I174" s="141"/>
      <c r="J174" s="142"/>
      <c r="K174" s="143"/>
      <c r="N174" s="106"/>
      <c r="O174" s="106"/>
      <c r="P174" s="106"/>
      <c r="Q174" s="106"/>
      <c r="R174" s="106"/>
      <c r="S174" s="106"/>
    </row>
    <row r="175" spans="1:19" s="105" customFormat="1">
      <c r="A175" s="106"/>
      <c r="B175" s="194" t="s">
        <v>23</v>
      </c>
      <c r="C175" s="139"/>
      <c r="D175" s="140"/>
      <c r="E175" s="139"/>
      <c r="F175" s="139"/>
      <c r="G175" s="140"/>
      <c r="H175" s="139"/>
      <c r="I175" s="141"/>
      <c r="J175" s="142"/>
      <c r="K175" s="143"/>
      <c r="N175" s="106"/>
      <c r="O175" s="106"/>
      <c r="P175" s="106"/>
      <c r="Q175" s="106"/>
      <c r="R175" s="106"/>
      <c r="S175" s="106"/>
    </row>
    <row r="176" spans="1:19" s="105" customFormat="1">
      <c r="A176" s="106"/>
      <c r="B176" s="175" t="s">
        <v>20</v>
      </c>
      <c r="C176" s="139"/>
      <c r="D176" s="140"/>
      <c r="E176" s="139"/>
      <c r="F176" s="139"/>
      <c r="G176" s="140"/>
      <c r="H176" s="139"/>
      <c r="I176" s="141"/>
      <c r="J176" s="142"/>
      <c r="K176" s="143"/>
      <c r="N176" s="106"/>
      <c r="O176" s="106"/>
      <c r="P176" s="106"/>
      <c r="Q176" s="106"/>
      <c r="R176" s="106"/>
      <c r="S176" s="106"/>
    </row>
    <row r="177" spans="1:19" s="105" customFormat="1">
      <c r="A177" s="106"/>
      <c r="B177" s="175" t="s">
        <v>48</v>
      </c>
      <c r="C177" s="139"/>
      <c r="D177" s="140"/>
      <c r="E177" s="139"/>
      <c r="F177" s="139"/>
      <c r="G177" s="140"/>
      <c r="H177" s="139"/>
      <c r="I177" s="141"/>
      <c r="J177" s="142"/>
      <c r="K177" s="143"/>
      <c r="N177" s="106"/>
      <c r="O177" s="106"/>
      <c r="P177" s="106"/>
      <c r="Q177" s="106"/>
      <c r="R177" s="106"/>
      <c r="S177" s="106"/>
    </row>
    <row r="178" spans="1:19" s="105" customFormat="1">
      <c r="A178" s="106"/>
      <c r="B178" s="194" t="s">
        <v>23</v>
      </c>
      <c r="C178" s="139"/>
      <c r="D178" s="140"/>
      <c r="E178" s="139"/>
      <c r="F178" s="139"/>
      <c r="G178" s="140"/>
      <c r="H178" s="139"/>
      <c r="I178" s="141"/>
      <c r="J178" s="142"/>
      <c r="K178" s="143"/>
      <c r="N178" s="106"/>
      <c r="O178" s="106"/>
      <c r="P178" s="106"/>
      <c r="Q178" s="106"/>
      <c r="R178" s="106"/>
      <c r="S178" s="106"/>
    </row>
    <row r="179" spans="1:19" s="105" customFormat="1">
      <c r="A179" s="106"/>
      <c r="B179" s="175" t="s">
        <v>49</v>
      </c>
      <c r="C179" s="139"/>
      <c r="D179" s="140"/>
      <c r="E179" s="139">
        <f>+E181</f>
        <v>0</v>
      </c>
      <c r="F179" s="139"/>
      <c r="G179" s="140"/>
      <c r="H179" s="139">
        <f>+H181</f>
        <v>0</v>
      </c>
      <c r="I179" s="141"/>
      <c r="J179" s="142"/>
      <c r="K179" s="143"/>
      <c r="N179" s="106"/>
      <c r="O179" s="106"/>
      <c r="P179" s="106"/>
      <c r="Q179" s="106"/>
      <c r="R179" s="106"/>
      <c r="S179" s="106"/>
    </row>
    <row r="180" spans="1:19" s="105" customFormat="1">
      <c r="A180" s="106"/>
      <c r="B180" s="175" t="s">
        <v>19</v>
      </c>
      <c r="C180" s="139"/>
      <c r="D180" s="140"/>
      <c r="E180" s="139"/>
      <c r="F180" s="139"/>
      <c r="G180" s="140"/>
      <c r="H180" s="139"/>
      <c r="I180" s="141"/>
      <c r="J180" s="142"/>
      <c r="K180" s="143"/>
      <c r="N180" s="106"/>
      <c r="O180" s="106"/>
      <c r="P180" s="106"/>
      <c r="Q180" s="106"/>
      <c r="R180" s="106"/>
      <c r="S180" s="106"/>
    </row>
    <row r="181" spans="1:19" s="105" customFormat="1">
      <c r="A181" s="106"/>
      <c r="B181" s="175" t="s">
        <v>50</v>
      </c>
      <c r="C181" s="139"/>
      <c r="D181" s="140"/>
      <c r="E181" s="139"/>
      <c r="F181" s="139"/>
      <c r="G181" s="140"/>
      <c r="H181" s="139"/>
      <c r="I181" s="141"/>
      <c r="J181" s="142"/>
      <c r="K181" s="143"/>
      <c r="N181" s="106"/>
      <c r="O181" s="106"/>
      <c r="P181" s="106"/>
      <c r="Q181" s="106"/>
      <c r="R181" s="106"/>
      <c r="S181" s="106"/>
    </row>
    <row r="182" spans="1:19" s="105" customFormat="1">
      <c r="A182" s="106"/>
      <c r="B182" s="194" t="s">
        <v>17</v>
      </c>
      <c r="C182" s="139"/>
      <c r="D182" s="140"/>
      <c r="E182" s="139"/>
      <c r="F182" s="139"/>
      <c r="G182" s="140"/>
      <c r="H182" s="139"/>
      <c r="I182" s="141"/>
      <c r="J182" s="142"/>
      <c r="K182" s="143"/>
      <c r="N182" s="106"/>
      <c r="O182" s="106"/>
      <c r="P182" s="106"/>
      <c r="Q182" s="106"/>
      <c r="R182" s="106"/>
      <c r="S182" s="106"/>
    </row>
    <row r="183" spans="1:19" s="105" customFormat="1">
      <c r="A183" s="106"/>
      <c r="B183" s="194" t="s">
        <v>18</v>
      </c>
      <c r="C183" s="139"/>
      <c r="D183" s="140"/>
      <c r="E183" s="139"/>
      <c r="F183" s="139"/>
      <c r="G183" s="140"/>
      <c r="H183" s="139"/>
      <c r="I183" s="141"/>
      <c r="J183" s="142"/>
      <c r="K183" s="143"/>
      <c r="N183" s="106"/>
      <c r="O183" s="106"/>
      <c r="P183" s="106"/>
      <c r="Q183" s="106"/>
      <c r="R183" s="106"/>
      <c r="S183" s="106"/>
    </row>
    <row r="184" spans="1:19" s="105" customFormat="1">
      <c r="A184" s="106"/>
      <c r="B184" s="175" t="s">
        <v>22</v>
      </c>
      <c r="C184" s="139"/>
      <c r="D184" s="140"/>
      <c r="E184" s="139"/>
      <c r="F184" s="139"/>
      <c r="G184" s="140"/>
      <c r="H184" s="139"/>
      <c r="I184" s="141"/>
      <c r="J184" s="142"/>
      <c r="K184" s="143"/>
      <c r="N184" s="106"/>
      <c r="O184" s="106"/>
      <c r="P184" s="106"/>
      <c r="Q184" s="106"/>
      <c r="R184" s="106"/>
      <c r="S184" s="106"/>
    </row>
    <row r="185" spans="1:19" s="105" customFormat="1">
      <c r="A185" s="106"/>
      <c r="B185" s="175" t="s">
        <v>51</v>
      </c>
      <c r="C185" s="139"/>
      <c r="D185" s="140"/>
      <c r="E185" s="139"/>
      <c r="F185" s="139"/>
      <c r="G185" s="140"/>
      <c r="H185" s="139"/>
      <c r="I185" s="141"/>
      <c r="J185" s="142"/>
      <c r="K185" s="143"/>
      <c r="N185" s="106"/>
      <c r="O185" s="106"/>
      <c r="P185" s="106"/>
      <c r="Q185" s="106"/>
      <c r="R185" s="106"/>
      <c r="S185" s="106"/>
    </row>
    <row r="186" spans="1:19" s="105" customFormat="1">
      <c r="A186" s="106"/>
      <c r="B186" s="194" t="s">
        <v>23</v>
      </c>
      <c r="C186" s="139"/>
      <c r="D186" s="140"/>
      <c r="E186" s="139"/>
      <c r="F186" s="139"/>
      <c r="G186" s="140"/>
      <c r="H186" s="139"/>
      <c r="I186" s="141"/>
      <c r="J186" s="142"/>
      <c r="K186" s="143"/>
      <c r="N186" s="106"/>
      <c r="O186" s="106"/>
      <c r="P186" s="106"/>
      <c r="Q186" s="106"/>
      <c r="R186" s="106"/>
      <c r="S186" s="106"/>
    </row>
    <row r="187" spans="1:19" s="105" customFormat="1">
      <c r="A187" s="106"/>
      <c r="B187" s="175" t="s">
        <v>20</v>
      </c>
      <c r="C187" s="139"/>
      <c r="D187" s="140"/>
      <c r="E187" s="139"/>
      <c r="F187" s="139"/>
      <c r="G187" s="140"/>
      <c r="H187" s="139"/>
      <c r="I187" s="141"/>
      <c r="J187" s="142"/>
      <c r="K187" s="143"/>
      <c r="N187" s="106"/>
      <c r="O187" s="106"/>
      <c r="P187" s="106"/>
      <c r="Q187" s="106"/>
      <c r="R187" s="106"/>
      <c r="S187" s="106"/>
    </row>
    <row r="188" spans="1:19" s="105" customFormat="1">
      <c r="A188" s="106"/>
      <c r="B188" s="175" t="s">
        <v>51</v>
      </c>
      <c r="C188" s="139"/>
      <c r="D188" s="140"/>
      <c r="E188" s="139"/>
      <c r="F188" s="139"/>
      <c r="G188" s="140"/>
      <c r="H188" s="139"/>
      <c r="I188" s="141"/>
      <c r="J188" s="142"/>
      <c r="K188" s="143"/>
      <c r="N188" s="106"/>
      <c r="O188" s="106"/>
      <c r="P188" s="106"/>
      <c r="Q188" s="106"/>
      <c r="R188" s="106"/>
      <c r="S188" s="106"/>
    </row>
    <row r="189" spans="1:19" s="105" customFormat="1">
      <c r="A189" s="106"/>
      <c r="B189" s="194" t="s">
        <v>23</v>
      </c>
      <c r="C189" s="139"/>
      <c r="D189" s="140"/>
      <c r="E189" s="139"/>
      <c r="F189" s="139"/>
      <c r="G189" s="140"/>
      <c r="H189" s="139"/>
      <c r="I189" s="141"/>
      <c r="J189" s="142"/>
      <c r="K189" s="143"/>
      <c r="N189" s="106"/>
      <c r="O189" s="106"/>
      <c r="P189" s="106"/>
      <c r="Q189" s="106"/>
      <c r="R189" s="106"/>
      <c r="S189" s="106"/>
    </row>
    <row r="190" spans="1:19" s="105" customFormat="1">
      <c r="A190" s="106"/>
      <c r="B190" s="175" t="s">
        <v>53</v>
      </c>
      <c r="C190" s="139"/>
      <c r="D190" s="140"/>
      <c r="E190" s="139"/>
      <c r="F190" s="139"/>
      <c r="G190" s="140"/>
      <c r="H190" s="139"/>
      <c r="I190" s="141"/>
      <c r="J190" s="142"/>
      <c r="K190" s="143"/>
      <c r="N190" s="106"/>
      <c r="O190" s="106"/>
      <c r="P190" s="106"/>
      <c r="Q190" s="106"/>
      <c r="R190" s="106"/>
      <c r="S190" s="106"/>
    </row>
    <row r="191" spans="1:19" s="105" customFormat="1">
      <c r="A191" s="106"/>
      <c r="B191" s="175" t="s">
        <v>52</v>
      </c>
      <c r="C191" s="139"/>
      <c r="D191" s="140"/>
      <c r="E191" s="139"/>
      <c r="F191" s="139"/>
      <c r="G191" s="140"/>
      <c r="H191" s="139"/>
      <c r="I191" s="141"/>
      <c r="J191" s="142"/>
      <c r="K191" s="143"/>
      <c r="N191" s="106"/>
      <c r="O191" s="106"/>
      <c r="P191" s="106"/>
      <c r="Q191" s="106"/>
      <c r="R191" s="106"/>
      <c r="S191" s="106"/>
    </row>
    <row r="192" spans="1:19" s="105" customFormat="1" ht="37.5">
      <c r="A192" s="106"/>
      <c r="B192" s="175" t="s">
        <v>54</v>
      </c>
      <c r="C192" s="139"/>
      <c r="D192" s="140"/>
      <c r="E192" s="139"/>
      <c r="F192" s="139"/>
      <c r="G192" s="140"/>
      <c r="H192" s="139"/>
      <c r="I192" s="141"/>
      <c r="J192" s="142"/>
      <c r="K192" s="143"/>
      <c r="N192" s="106"/>
      <c r="O192" s="106"/>
      <c r="P192" s="106"/>
      <c r="Q192" s="106"/>
      <c r="R192" s="106"/>
      <c r="S192" s="106"/>
    </row>
    <row r="193" spans="1:19" s="105" customFormat="1">
      <c r="A193" s="106"/>
      <c r="B193" s="175" t="s">
        <v>55</v>
      </c>
      <c r="C193" s="139"/>
      <c r="D193" s="140"/>
      <c r="E193" s="139"/>
      <c r="F193" s="139"/>
      <c r="G193" s="140"/>
      <c r="H193" s="139"/>
      <c r="I193" s="141"/>
      <c r="J193" s="142"/>
      <c r="K193" s="143"/>
      <c r="N193" s="106"/>
      <c r="O193" s="106"/>
      <c r="P193" s="106"/>
      <c r="Q193" s="106"/>
      <c r="R193" s="106"/>
      <c r="S193" s="106"/>
    </row>
    <row r="194" spans="1:19" s="105" customFormat="1" ht="37.5">
      <c r="A194" s="106"/>
      <c r="B194" s="175" t="s">
        <v>54</v>
      </c>
      <c r="C194" s="139"/>
      <c r="D194" s="140"/>
      <c r="E194" s="139"/>
      <c r="F194" s="139"/>
      <c r="G194" s="140"/>
      <c r="H194" s="139"/>
      <c r="I194" s="141"/>
      <c r="J194" s="142"/>
      <c r="K194" s="143"/>
      <c r="N194" s="106"/>
      <c r="O194" s="106"/>
      <c r="P194" s="106"/>
      <c r="Q194" s="106"/>
      <c r="R194" s="106"/>
      <c r="S194" s="106"/>
    </row>
    <row r="195" spans="1:19" s="105" customFormat="1">
      <c r="A195" s="106"/>
      <c r="B195" s="175" t="s">
        <v>56</v>
      </c>
      <c r="C195" s="139"/>
      <c r="D195" s="140"/>
      <c r="E195" s="139">
        <f>+E196</f>
        <v>0</v>
      </c>
      <c r="F195" s="139"/>
      <c r="G195" s="140"/>
      <c r="H195" s="139">
        <f>+H196+H198+H199</f>
        <v>4.609</v>
      </c>
      <c r="I195" s="141">
        <f t="shared" si="12"/>
        <v>4.609</v>
      </c>
      <c r="J195" s="142">
        <f t="shared" si="13"/>
        <v>100</v>
      </c>
      <c r="K195" s="143"/>
      <c r="N195" s="106"/>
      <c r="O195" s="106"/>
      <c r="P195" s="106"/>
      <c r="Q195" s="106"/>
      <c r="R195" s="106"/>
      <c r="S195" s="106"/>
    </row>
    <row r="196" spans="1:19" s="105" customFormat="1">
      <c r="A196" s="106"/>
      <c r="B196" s="175" t="s">
        <v>286</v>
      </c>
      <c r="C196" s="139"/>
      <c r="D196" s="140"/>
      <c r="E196" s="139"/>
      <c r="F196" s="139"/>
      <c r="G196" s="140"/>
      <c r="H196" s="318">
        <f>SUM(H197:H197)</f>
        <v>3.109</v>
      </c>
      <c r="I196" s="141">
        <f t="shared" si="12"/>
        <v>3.109</v>
      </c>
      <c r="J196" s="142">
        <f t="shared" si="13"/>
        <v>100</v>
      </c>
      <c r="K196" s="143"/>
      <c r="N196" s="106"/>
      <c r="O196" s="106"/>
      <c r="P196" s="106"/>
      <c r="Q196" s="106"/>
      <c r="R196" s="106"/>
      <c r="S196" s="106"/>
    </row>
    <row r="197" spans="1:19" s="105" customFormat="1" ht="37.5">
      <c r="A197" s="106"/>
      <c r="B197" s="175" t="s">
        <v>287</v>
      </c>
      <c r="C197" s="139"/>
      <c r="D197" s="140"/>
      <c r="E197" s="139"/>
      <c r="F197" s="139"/>
      <c r="G197" s="140"/>
      <c r="H197" s="318">
        <v>3.109</v>
      </c>
      <c r="I197" s="141">
        <f t="shared" si="12"/>
        <v>3.109</v>
      </c>
      <c r="J197" s="142">
        <f t="shared" si="13"/>
        <v>100</v>
      </c>
      <c r="K197" s="175" t="s">
        <v>288</v>
      </c>
      <c r="L197" s="195"/>
      <c r="N197" s="106"/>
      <c r="O197" s="106"/>
      <c r="P197" s="106"/>
      <c r="Q197" s="106"/>
      <c r="R197" s="106"/>
      <c r="S197" s="106"/>
    </row>
    <row r="198" spans="1:19" s="105" customFormat="1" ht="75">
      <c r="A198" s="106"/>
      <c r="B198" s="175" t="s">
        <v>373</v>
      </c>
      <c r="C198" s="139"/>
      <c r="D198" s="140"/>
      <c r="E198" s="139"/>
      <c r="F198" s="139"/>
      <c r="G198" s="140"/>
      <c r="H198" s="318">
        <v>0.5</v>
      </c>
      <c r="I198" s="141">
        <f t="shared" si="12"/>
        <v>0.5</v>
      </c>
      <c r="J198" s="142">
        <f t="shared" si="13"/>
        <v>100</v>
      </c>
      <c r="K198" s="175" t="s">
        <v>370</v>
      </c>
      <c r="L198" s="195"/>
      <c r="N198" s="106"/>
      <c r="O198" s="106"/>
      <c r="P198" s="106"/>
      <c r="Q198" s="106"/>
      <c r="R198" s="106"/>
      <c r="S198" s="106"/>
    </row>
    <row r="199" spans="1:19" s="105" customFormat="1" ht="187.5">
      <c r="A199" s="106"/>
      <c r="B199" s="175" t="s">
        <v>374</v>
      </c>
      <c r="C199" s="139"/>
      <c r="D199" s="140"/>
      <c r="E199" s="139"/>
      <c r="F199" s="139"/>
      <c r="G199" s="140"/>
      <c r="H199" s="318">
        <v>1</v>
      </c>
      <c r="I199" s="141">
        <f t="shared" si="12"/>
        <v>1</v>
      </c>
      <c r="J199" s="142">
        <f t="shared" si="13"/>
        <v>100</v>
      </c>
      <c r="K199" s="175" t="s">
        <v>371</v>
      </c>
      <c r="L199" s="195"/>
      <c r="N199" s="106"/>
      <c r="O199" s="106"/>
      <c r="P199" s="106"/>
      <c r="Q199" s="106"/>
      <c r="R199" s="106"/>
      <c r="S199" s="106"/>
    </row>
    <row r="200" spans="1:19" s="105" customFormat="1">
      <c r="A200" s="106"/>
      <c r="B200" s="175"/>
      <c r="C200" s="139"/>
      <c r="D200" s="140"/>
      <c r="E200" s="139"/>
      <c r="F200" s="139"/>
      <c r="G200" s="140"/>
      <c r="H200" s="139"/>
      <c r="I200" s="141"/>
      <c r="J200" s="142"/>
      <c r="K200" s="175"/>
      <c r="L200" s="195"/>
      <c r="N200" s="106"/>
      <c r="O200" s="106"/>
      <c r="P200" s="106"/>
      <c r="Q200" s="106"/>
      <c r="R200" s="106"/>
      <c r="S200" s="106"/>
    </row>
    <row r="201" spans="1:19" s="105" customFormat="1">
      <c r="A201" s="106"/>
      <c r="B201" s="143"/>
      <c r="C201" s="143"/>
      <c r="D201" s="143"/>
      <c r="E201" s="143"/>
      <c r="F201" s="143"/>
      <c r="G201" s="143"/>
      <c r="H201" s="143"/>
      <c r="I201" s="141"/>
      <c r="J201" s="142"/>
      <c r="K201" s="143"/>
      <c r="L201" s="195"/>
      <c r="N201" s="106"/>
      <c r="O201" s="106"/>
      <c r="P201" s="106"/>
      <c r="Q201" s="106"/>
      <c r="R201" s="106"/>
      <c r="S201" s="106"/>
    </row>
    <row r="202" spans="1:19" s="105" customFormat="1" ht="50.25" customHeight="1">
      <c r="A202" s="106"/>
      <c r="B202" s="286" t="s">
        <v>126</v>
      </c>
      <c r="C202" s="139"/>
      <c r="D202" s="140"/>
      <c r="E202" s="139">
        <f>+E204+E299+E322+E327</f>
        <v>31.344699999999996</v>
      </c>
      <c r="F202" s="139"/>
      <c r="G202" s="140"/>
      <c r="H202" s="139">
        <f>+H204+H299+H322+H327</f>
        <v>80.462600000000023</v>
      </c>
      <c r="I202" s="141">
        <f t="shared" si="12"/>
        <v>49.117900000000027</v>
      </c>
      <c r="J202" s="142">
        <f t="shared" si="13"/>
        <v>61.044385838886654</v>
      </c>
      <c r="K202" s="143"/>
      <c r="N202" s="106"/>
      <c r="O202" s="106"/>
      <c r="P202" s="106"/>
      <c r="Q202" s="106"/>
      <c r="R202" s="106"/>
      <c r="S202" s="106"/>
    </row>
    <row r="203" spans="1:19" s="105" customFormat="1" ht="27.75" customHeight="1">
      <c r="A203" s="106"/>
      <c r="B203" s="245" t="s">
        <v>94</v>
      </c>
      <c r="C203" s="139"/>
      <c r="D203" s="140"/>
      <c r="E203" s="139"/>
      <c r="F203" s="139"/>
      <c r="G203" s="140"/>
      <c r="H203" s="139"/>
      <c r="I203" s="141">
        <f t="shared" si="12"/>
        <v>0</v>
      </c>
      <c r="J203" s="142"/>
      <c r="K203" s="143"/>
      <c r="N203" s="106"/>
      <c r="O203" s="106"/>
      <c r="P203" s="106"/>
      <c r="Q203" s="106"/>
      <c r="R203" s="106"/>
      <c r="S203" s="106"/>
    </row>
    <row r="204" spans="1:19" s="105" customFormat="1">
      <c r="A204" s="106"/>
      <c r="B204" s="175" t="s">
        <v>38</v>
      </c>
      <c r="C204" s="139"/>
      <c r="D204" s="140"/>
      <c r="E204" s="139">
        <f>+E205+E293</f>
        <v>25.344699999999996</v>
      </c>
      <c r="F204" s="139"/>
      <c r="G204" s="140"/>
      <c r="H204" s="139">
        <f>+H205+H293</f>
        <v>69.222400000000022</v>
      </c>
      <c r="I204" s="141">
        <f t="shared" si="12"/>
        <v>43.877700000000026</v>
      </c>
      <c r="J204" s="142">
        <f t="shared" si="13"/>
        <v>63.386562731139065</v>
      </c>
      <c r="K204" s="143"/>
      <c r="N204" s="106"/>
      <c r="O204" s="106"/>
      <c r="P204" s="106"/>
      <c r="Q204" s="106"/>
      <c r="R204" s="106"/>
      <c r="S204" s="106"/>
    </row>
    <row r="205" spans="1:19" s="105" customFormat="1">
      <c r="A205" s="106"/>
      <c r="B205" s="175" t="s">
        <v>41</v>
      </c>
      <c r="C205" s="139"/>
      <c r="D205" s="140"/>
      <c r="E205" s="139">
        <f>+E206+E222+E285</f>
        <v>25.344699999999996</v>
      </c>
      <c r="F205" s="139"/>
      <c r="G205" s="140"/>
      <c r="H205" s="139">
        <f>+H206+H222+H285</f>
        <v>69.222400000000022</v>
      </c>
      <c r="I205" s="141">
        <f t="shared" si="12"/>
        <v>43.877700000000026</v>
      </c>
      <c r="J205" s="142">
        <f t="shared" si="13"/>
        <v>63.386562731139065</v>
      </c>
      <c r="K205" s="143"/>
      <c r="L205" s="319"/>
      <c r="N205" s="106"/>
      <c r="O205" s="106"/>
      <c r="P205" s="106"/>
      <c r="Q205" s="106"/>
      <c r="R205" s="106"/>
      <c r="S205" s="106"/>
    </row>
    <row r="206" spans="1:19" s="105" customFormat="1">
      <c r="A206" s="106"/>
      <c r="B206" s="175" t="s">
        <v>42</v>
      </c>
      <c r="C206" s="139"/>
      <c r="D206" s="140"/>
      <c r="E206" s="139">
        <f>SUM(E207:E216)</f>
        <v>8.5722999999999985</v>
      </c>
      <c r="F206" s="139"/>
      <c r="G206" s="140"/>
      <c r="H206" s="139">
        <f>SUM(H207:H216)</f>
        <v>3.3399000000000005</v>
      </c>
      <c r="I206" s="141">
        <f t="shared" si="12"/>
        <v>-5.2323999999999984</v>
      </c>
      <c r="J206" s="142">
        <f t="shared" si="13"/>
        <v>-156.66337315488479</v>
      </c>
      <c r="K206" s="143"/>
      <c r="N206" s="106"/>
      <c r="O206" s="106"/>
      <c r="P206" s="106"/>
      <c r="Q206" s="106"/>
      <c r="R206" s="106"/>
      <c r="S206" s="106"/>
    </row>
    <row r="207" spans="1:19" s="105" customFormat="1">
      <c r="A207" s="106"/>
      <c r="B207" s="194" t="s">
        <v>112</v>
      </c>
      <c r="C207" s="139"/>
      <c r="D207" s="140"/>
      <c r="E207" s="139">
        <v>0.2</v>
      </c>
      <c r="F207" s="139"/>
      <c r="G207" s="140"/>
      <c r="H207" s="139">
        <v>0.18</v>
      </c>
      <c r="I207" s="141">
        <f t="shared" si="12"/>
        <v>-2.0000000000000018E-2</v>
      </c>
      <c r="J207" s="142">
        <f t="shared" si="13"/>
        <v>-11.111111111111121</v>
      </c>
      <c r="K207" s="143" t="s">
        <v>425</v>
      </c>
      <c r="N207" s="106"/>
      <c r="O207" s="106"/>
      <c r="P207" s="106"/>
      <c r="Q207" s="106"/>
      <c r="R207" s="106"/>
      <c r="S207" s="106"/>
    </row>
    <row r="208" spans="1:19" s="105" customFormat="1" ht="37.5">
      <c r="A208" s="106"/>
      <c r="B208" s="194"/>
      <c r="C208" s="139"/>
      <c r="D208" s="140"/>
      <c r="E208" s="139"/>
      <c r="F208" s="139"/>
      <c r="G208" s="140"/>
      <c r="H208" s="139"/>
      <c r="I208" s="141"/>
      <c r="J208" s="142"/>
      <c r="K208" s="219" t="s">
        <v>426</v>
      </c>
      <c r="L208" s="105">
        <v>180000</v>
      </c>
      <c r="N208" s="106"/>
      <c r="O208" s="106"/>
      <c r="P208" s="106"/>
      <c r="Q208" s="106"/>
      <c r="R208" s="106"/>
      <c r="S208" s="106"/>
    </row>
    <row r="209" spans="1:19" s="105" customFormat="1">
      <c r="A209" s="106"/>
      <c r="B209" s="194"/>
      <c r="C209" s="139"/>
      <c r="D209" s="140"/>
      <c r="E209" s="139"/>
      <c r="F209" s="139"/>
      <c r="G209" s="140"/>
      <c r="H209" s="139"/>
      <c r="I209" s="141"/>
      <c r="J209" s="142"/>
      <c r="K209" s="143"/>
      <c r="N209" s="106"/>
      <c r="O209" s="106"/>
      <c r="P209" s="106"/>
      <c r="Q209" s="106"/>
      <c r="R209" s="106"/>
      <c r="S209" s="106"/>
    </row>
    <row r="210" spans="1:19" s="105" customFormat="1">
      <c r="A210" s="106"/>
      <c r="B210" s="194"/>
      <c r="C210" s="139"/>
      <c r="D210" s="140"/>
      <c r="E210" s="139"/>
      <c r="F210" s="139"/>
      <c r="G210" s="140"/>
      <c r="H210" s="139"/>
      <c r="I210" s="141"/>
      <c r="J210" s="142"/>
      <c r="K210" s="143"/>
      <c r="N210" s="106"/>
      <c r="O210" s="106"/>
      <c r="P210" s="106"/>
      <c r="Q210" s="106"/>
      <c r="R210" s="106"/>
      <c r="S210" s="106"/>
    </row>
    <row r="211" spans="1:19" s="105" customFormat="1">
      <c r="A211" s="106"/>
      <c r="B211" s="194"/>
      <c r="C211" s="139"/>
      <c r="D211" s="140"/>
      <c r="E211" s="139"/>
      <c r="F211" s="139"/>
      <c r="G211" s="140"/>
      <c r="H211" s="139"/>
      <c r="I211" s="141"/>
      <c r="J211" s="142"/>
      <c r="K211" s="143"/>
      <c r="N211" s="106"/>
      <c r="O211" s="106"/>
      <c r="P211" s="106"/>
      <c r="Q211" s="106"/>
      <c r="R211" s="106"/>
      <c r="S211" s="106"/>
    </row>
    <row r="212" spans="1:19" s="105" customFormat="1">
      <c r="A212" s="106"/>
      <c r="B212" s="194"/>
      <c r="C212" s="139"/>
      <c r="D212" s="140"/>
      <c r="E212" s="139"/>
      <c r="F212" s="139"/>
      <c r="G212" s="140"/>
      <c r="H212" s="139"/>
      <c r="I212" s="141"/>
      <c r="J212" s="142"/>
      <c r="K212" s="143"/>
      <c r="N212" s="106"/>
      <c r="O212" s="106"/>
      <c r="P212" s="106"/>
      <c r="Q212" s="106"/>
      <c r="R212" s="106"/>
      <c r="S212" s="106"/>
    </row>
    <row r="213" spans="1:19" s="105" customFormat="1" ht="37.5">
      <c r="A213" s="106"/>
      <c r="B213" s="194" t="s">
        <v>113</v>
      </c>
      <c r="C213" s="139"/>
      <c r="D213" s="140"/>
      <c r="E213" s="139">
        <v>7.9672999999999998</v>
      </c>
      <c r="F213" s="139"/>
      <c r="G213" s="140"/>
      <c r="H213" s="139">
        <v>2.4073000000000002</v>
      </c>
      <c r="I213" s="141">
        <f t="shared" ref="I213:I265" si="14">+H213-E213</f>
        <v>-5.56</v>
      </c>
      <c r="J213" s="142">
        <f t="shared" ref="J213:J265" si="15">+I213*100/H213</f>
        <v>-230.96415070826234</v>
      </c>
      <c r="K213" s="219" t="s">
        <v>463</v>
      </c>
      <c r="L213" s="105">
        <v>2407300</v>
      </c>
      <c r="N213" s="106"/>
      <c r="O213" s="106"/>
      <c r="P213" s="106"/>
      <c r="Q213" s="106"/>
      <c r="R213" s="106"/>
      <c r="S213" s="106"/>
    </row>
    <row r="214" spans="1:19" s="105" customFormat="1">
      <c r="A214" s="106"/>
      <c r="B214" s="194"/>
      <c r="C214" s="139"/>
      <c r="D214" s="140"/>
      <c r="E214" s="139"/>
      <c r="F214" s="139"/>
      <c r="G214" s="140"/>
      <c r="H214" s="139"/>
      <c r="I214" s="141"/>
      <c r="J214" s="142"/>
      <c r="K214" s="175" t="s">
        <v>466</v>
      </c>
      <c r="L214" s="105">
        <v>382500</v>
      </c>
      <c r="N214" s="106"/>
      <c r="O214" s="106"/>
      <c r="P214" s="106"/>
      <c r="Q214" s="106"/>
      <c r="R214" s="106"/>
      <c r="S214" s="106"/>
    </row>
    <row r="215" spans="1:19" s="105" customFormat="1">
      <c r="A215" s="106"/>
      <c r="B215" s="194"/>
      <c r="C215" s="139"/>
      <c r="D215" s="140"/>
      <c r="E215" s="139"/>
      <c r="F215" s="139"/>
      <c r="G215" s="140"/>
      <c r="H215" s="139"/>
      <c r="I215" s="141"/>
      <c r="J215" s="142"/>
      <c r="K215" s="175"/>
      <c r="N215" s="106"/>
      <c r="O215" s="106"/>
      <c r="P215" s="106"/>
      <c r="Q215" s="106"/>
      <c r="R215" s="106"/>
      <c r="S215" s="106"/>
    </row>
    <row r="216" spans="1:19" s="105" customFormat="1" ht="75">
      <c r="A216" s="106"/>
      <c r="B216" s="194" t="s">
        <v>114</v>
      </c>
      <c r="C216" s="139"/>
      <c r="D216" s="140"/>
      <c r="E216" s="139">
        <v>0.40500000000000003</v>
      </c>
      <c r="F216" s="139"/>
      <c r="G216" s="140"/>
      <c r="H216" s="139">
        <f>0.65+0.1026</f>
        <v>0.75260000000000005</v>
      </c>
      <c r="I216" s="141">
        <f t="shared" si="14"/>
        <v>0.34760000000000002</v>
      </c>
      <c r="J216" s="142">
        <f t="shared" si="15"/>
        <v>46.186553281955888</v>
      </c>
      <c r="K216" s="175" t="s">
        <v>439</v>
      </c>
      <c r="L216" s="105">
        <f>SUM(L217:L221)</f>
        <v>450000</v>
      </c>
      <c r="N216" s="106"/>
      <c r="O216" s="106"/>
      <c r="P216" s="106"/>
      <c r="Q216" s="106"/>
      <c r="R216" s="106"/>
      <c r="S216" s="106"/>
    </row>
    <row r="217" spans="1:19" s="105" customFormat="1" ht="56.25">
      <c r="A217" s="106"/>
      <c r="B217" s="194"/>
      <c r="C217" s="139"/>
      <c r="D217" s="140"/>
      <c r="E217" s="139"/>
      <c r="F217" s="139"/>
      <c r="G217" s="140"/>
      <c r="H217" s="139"/>
      <c r="I217" s="141"/>
      <c r="J217" s="142"/>
      <c r="K217" s="175" t="s">
        <v>424</v>
      </c>
      <c r="L217" s="105">
        <v>144000</v>
      </c>
      <c r="N217" s="106"/>
      <c r="O217" s="106"/>
      <c r="P217" s="106"/>
      <c r="Q217" s="106"/>
      <c r="R217" s="106"/>
      <c r="S217" s="106"/>
    </row>
    <row r="218" spans="1:19" s="105" customFormat="1" ht="37.5">
      <c r="A218" s="106"/>
      <c r="B218" s="194"/>
      <c r="C218" s="139"/>
      <c r="D218" s="140"/>
      <c r="E218" s="139"/>
      <c r="F218" s="139"/>
      <c r="G218" s="140"/>
      <c r="H218" s="139"/>
      <c r="I218" s="141"/>
      <c r="J218" s="142"/>
      <c r="K218" s="175" t="s">
        <v>438</v>
      </c>
      <c r="L218" s="105">
        <v>240000</v>
      </c>
      <c r="N218" s="106"/>
      <c r="O218" s="106"/>
      <c r="P218" s="106"/>
      <c r="Q218" s="106"/>
      <c r="R218" s="106"/>
      <c r="S218" s="106"/>
    </row>
    <row r="219" spans="1:19" s="105" customFormat="1" ht="37.5">
      <c r="A219" s="106"/>
      <c r="B219" s="194"/>
      <c r="C219" s="139"/>
      <c r="D219" s="140"/>
      <c r="E219" s="139"/>
      <c r="F219" s="139"/>
      <c r="G219" s="140"/>
      <c r="H219" s="139"/>
      <c r="I219" s="141"/>
      <c r="J219" s="142"/>
      <c r="K219" s="175" t="s">
        <v>459</v>
      </c>
      <c r="L219" s="105">
        <v>46800</v>
      </c>
      <c r="N219" s="106"/>
      <c r="O219" s="106"/>
      <c r="P219" s="106"/>
      <c r="Q219" s="106"/>
      <c r="R219" s="106"/>
      <c r="S219" s="106"/>
    </row>
    <row r="220" spans="1:19" s="105" customFormat="1">
      <c r="A220" s="106"/>
      <c r="B220" s="194"/>
      <c r="C220" s="139"/>
      <c r="D220" s="140"/>
      <c r="E220" s="139"/>
      <c r="F220" s="139"/>
      <c r="G220" s="140"/>
      <c r="H220" s="139"/>
      <c r="I220" s="141"/>
      <c r="J220" s="142"/>
      <c r="K220" s="175" t="s">
        <v>460</v>
      </c>
      <c r="N220" s="106"/>
      <c r="O220" s="106"/>
      <c r="P220" s="106"/>
      <c r="Q220" s="106"/>
      <c r="R220" s="106"/>
      <c r="S220" s="106"/>
    </row>
    <row r="221" spans="1:19" s="105" customFormat="1" ht="56.25">
      <c r="A221" s="106"/>
      <c r="B221" s="194"/>
      <c r="C221" s="139"/>
      <c r="D221" s="140"/>
      <c r="E221" s="139"/>
      <c r="F221" s="139"/>
      <c r="G221" s="140"/>
      <c r="H221" s="139"/>
      <c r="I221" s="141"/>
      <c r="J221" s="142"/>
      <c r="K221" s="175" t="s">
        <v>479</v>
      </c>
      <c r="L221" s="105">
        <v>19200</v>
      </c>
      <c r="N221" s="106"/>
      <c r="O221" s="106"/>
      <c r="P221" s="106"/>
      <c r="Q221" s="106"/>
      <c r="R221" s="106"/>
      <c r="S221" s="106"/>
    </row>
    <row r="222" spans="1:19" s="105" customFormat="1">
      <c r="A222" s="106"/>
      <c r="B222" s="175" t="s">
        <v>43</v>
      </c>
      <c r="C222" s="139"/>
      <c r="D222" s="140"/>
      <c r="E222" s="139">
        <f>SUM(E224:E270)</f>
        <v>14.631600000000001</v>
      </c>
      <c r="F222" s="139"/>
      <c r="G222" s="140"/>
      <c r="H222" s="139">
        <f>SUM(H224:H270)</f>
        <v>63.482500000000009</v>
      </c>
      <c r="I222" s="141">
        <f t="shared" si="14"/>
        <v>48.85090000000001</v>
      </c>
      <c r="J222" s="142">
        <f t="shared" si="15"/>
        <v>76.951758358602774</v>
      </c>
      <c r="K222" s="143"/>
      <c r="N222" s="106"/>
      <c r="O222" s="106"/>
      <c r="P222" s="106"/>
      <c r="Q222" s="106"/>
      <c r="R222" s="106"/>
      <c r="S222" s="106"/>
    </row>
    <row r="223" spans="1:19" s="105" customFormat="1">
      <c r="A223" s="106"/>
      <c r="B223" s="175" t="s">
        <v>19</v>
      </c>
      <c r="C223" s="139"/>
      <c r="D223" s="140"/>
      <c r="E223" s="139"/>
      <c r="F223" s="139"/>
      <c r="G223" s="140"/>
      <c r="H223" s="139"/>
      <c r="I223" s="139"/>
      <c r="J223" s="139"/>
      <c r="K223" s="143"/>
      <c r="N223" s="106"/>
      <c r="O223" s="106"/>
      <c r="P223" s="106"/>
      <c r="Q223" s="106"/>
      <c r="R223" s="106"/>
      <c r="S223" s="106"/>
    </row>
    <row r="224" spans="1:19" s="105" customFormat="1" ht="37.5">
      <c r="A224" s="106"/>
      <c r="B224" s="194" t="s">
        <v>85</v>
      </c>
      <c r="C224" s="139"/>
      <c r="D224" s="140"/>
      <c r="E224" s="139">
        <v>1.7763</v>
      </c>
      <c r="F224" s="139"/>
      <c r="G224" s="140"/>
      <c r="H224" s="139">
        <v>1.4148000000000001</v>
      </c>
      <c r="I224" s="141">
        <f t="shared" si="14"/>
        <v>-0.36149999999999993</v>
      </c>
      <c r="J224" s="142">
        <f t="shared" si="15"/>
        <v>-25.551314673452072</v>
      </c>
      <c r="K224" s="175" t="s">
        <v>427</v>
      </c>
      <c r="L224" s="105">
        <f>SUM(L225:L228)</f>
        <v>1414800</v>
      </c>
      <c r="N224" s="106"/>
      <c r="O224" s="106"/>
      <c r="P224" s="106"/>
      <c r="Q224" s="106"/>
      <c r="R224" s="106"/>
      <c r="S224" s="106"/>
    </row>
    <row r="225" spans="1:19" s="105" customFormat="1" ht="37.5">
      <c r="A225" s="106"/>
      <c r="B225" s="194"/>
      <c r="C225" s="139"/>
      <c r="D225" s="140"/>
      <c r="E225" s="139"/>
      <c r="F225" s="139"/>
      <c r="G225" s="140"/>
      <c r="H225" s="139"/>
      <c r="I225" s="141"/>
      <c r="J225" s="142"/>
      <c r="K225" s="219" t="s">
        <v>428</v>
      </c>
      <c r="L225" s="105">
        <v>1324800</v>
      </c>
      <c r="N225" s="106"/>
      <c r="O225" s="106"/>
      <c r="P225" s="106"/>
      <c r="Q225" s="106"/>
      <c r="R225" s="106"/>
      <c r="S225" s="106"/>
    </row>
    <row r="226" spans="1:19" s="105" customFormat="1" ht="37.5">
      <c r="A226" s="106"/>
      <c r="B226" s="194"/>
      <c r="C226" s="139"/>
      <c r="D226" s="140"/>
      <c r="E226" s="139"/>
      <c r="F226" s="139"/>
      <c r="G226" s="140"/>
      <c r="H226" s="139"/>
      <c r="I226" s="141"/>
      <c r="J226" s="142"/>
      <c r="K226" s="175" t="s">
        <v>440</v>
      </c>
      <c r="L226" s="105">
        <v>70000</v>
      </c>
      <c r="N226" s="106"/>
      <c r="O226" s="106"/>
      <c r="P226" s="106"/>
      <c r="Q226" s="106"/>
      <c r="R226" s="106"/>
      <c r="S226" s="106"/>
    </row>
    <row r="227" spans="1:19" s="105" customFormat="1" ht="37.5">
      <c r="A227" s="106"/>
      <c r="B227" s="194"/>
      <c r="C227" s="139"/>
      <c r="D227" s="140"/>
      <c r="E227" s="139"/>
      <c r="F227" s="139"/>
      <c r="G227" s="140"/>
      <c r="H227" s="139"/>
      <c r="I227" s="141"/>
      <c r="J227" s="142"/>
      <c r="K227" s="175" t="s">
        <v>472</v>
      </c>
      <c r="L227" s="105">
        <v>12000</v>
      </c>
      <c r="N227" s="106"/>
      <c r="O227" s="106"/>
      <c r="P227" s="106"/>
      <c r="Q227" s="106"/>
      <c r="R227" s="106"/>
      <c r="S227" s="106"/>
    </row>
    <row r="228" spans="1:19" s="105" customFormat="1" ht="56.25">
      <c r="A228" s="106"/>
      <c r="B228" s="194"/>
      <c r="C228" s="139"/>
      <c r="D228" s="140"/>
      <c r="E228" s="139"/>
      <c r="F228" s="139"/>
      <c r="G228" s="140"/>
      <c r="H228" s="139"/>
      <c r="I228" s="141"/>
      <c r="J228" s="142"/>
      <c r="K228" s="175" t="s">
        <v>480</v>
      </c>
      <c r="L228" s="105">
        <v>8000</v>
      </c>
      <c r="N228" s="106"/>
      <c r="O228" s="106"/>
      <c r="P228" s="106"/>
      <c r="Q228" s="106"/>
      <c r="R228" s="106"/>
      <c r="S228" s="106"/>
    </row>
    <row r="229" spans="1:19" s="105" customFormat="1" ht="37.5">
      <c r="A229" s="106"/>
      <c r="B229" s="194" t="s">
        <v>86</v>
      </c>
      <c r="C229" s="139"/>
      <c r="D229" s="140"/>
      <c r="E229" s="139">
        <v>6.4927000000000001</v>
      </c>
      <c r="F229" s="139"/>
      <c r="G229" s="140"/>
      <c r="H229" s="139">
        <f>11.1425-0.4</f>
        <v>10.7425</v>
      </c>
      <c r="I229" s="141">
        <f t="shared" si="14"/>
        <v>4.2497999999999996</v>
      </c>
      <c r="J229" s="142">
        <f t="shared" si="15"/>
        <v>39.560623690947168</v>
      </c>
      <c r="K229" s="175" t="s">
        <v>414</v>
      </c>
      <c r="L229" s="105">
        <f>SUM(L230:L251)</f>
        <v>11142500</v>
      </c>
      <c r="N229" s="106"/>
      <c r="O229" s="106"/>
      <c r="P229" s="106"/>
      <c r="Q229" s="106"/>
      <c r="R229" s="106"/>
      <c r="S229" s="106"/>
    </row>
    <row r="230" spans="1:19" s="105" customFormat="1" ht="37.5">
      <c r="A230" s="106"/>
      <c r="B230" s="194"/>
      <c r="C230" s="139"/>
      <c r="D230" s="140"/>
      <c r="E230" s="139"/>
      <c r="F230" s="139"/>
      <c r="G230" s="140"/>
      <c r="H230" s="139"/>
      <c r="I230" s="141"/>
      <c r="J230" s="142"/>
      <c r="K230" s="175" t="s">
        <v>415</v>
      </c>
      <c r="L230" s="105">
        <v>1000000</v>
      </c>
      <c r="N230" s="106"/>
      <c r="O230" s="106"/>
      <c r="P230" s="106"/>
      <c r="Q230" s="106"/>
      <c r="R230" s="106"/>
      <c r="S230" s="106"/>
    </row>
    <row r="231" spans="1:19" s="105" customFormat="1" ht="37.5">
      <c r="A231" s="106"/>
      <c r="B231" s="194"/>
      <c r="C231" s="139"/>
      <c r="D231" s="140"/>
      <c r="E231" s="139"/>
      <c r="F231" s="139"/>
      <c r="G231" s="140"/>
      <c r="H231" s="139"/>
      <c r="I231" s="141"/>
      <c r="J231" s="142"/>
      <c r="K231" s="175" t="s">
        <v>416</v>
      </c>
      <c r="L231" s="105">
        <v>2500000</v>
      </c>
      <c r="N231" s="106"/>
      <c r="O231" s="106"/>
      <c r="P231" s="106"/>
      <c r="Q231" s="106"/>
      <c r="R231" s="106"/>
      <c r="S231" s="106"/>
    </row>
    <row r="232" spans="1:19" s="105" customFormat="1" ht="56.25">
      <c r="A232" s="106"/>
      <c r="B232" s="194"/>
      <c r="C232" s="139"/>
      <c r="D232" s="140"/>
      <c r="E232" s="139"/>
      <c r="F232" s="139"/>
      <c r="G232" s="140"/>
      <c r="H232" s="139"/>
      <c r="I232" s="141"/>
      <c r="J232" s="142"/>
      <c r="K232" s="175" t="s">
        <v>417</v>
      </c>
      <c r="L232" s="105">
        <v>300000</v>
      </c>
      <c r="N232" s="106"/>
      <c r="O232" s="106"/>
      <c r="P232" s="106"/>
      <c r="Q232" s="106"/>
      <c r="R232" s="106"/>
      <c r="S232" s="106"/>
    </row>
    <row r="233" spans="1:19" s="105" customFormat="1" ht="56.25">
      <c r="A233" s="106"/>
      <c r="B233" s="194"/>
      <c r="C233" s="139"/>
      <c r="D233" s="140"/>
      <c r="E233" s="139"/>
      <c r="F233" s="139"/>
      <c r="G233" s="140"/>
      <c r="H233" s="139"/>
      <c r="I233" s="141"/>
      <c r="J233" s="142"/>
      <c r="K233" s="175" t="s">
        <v>418</v>
      </c>
      <c r="L233" s="105">
        <v>300000</v>
      </c>
      <c r="N233" s="106"/>
      <c r="O233" s="106"/>
      <c r="P233" s="106"/>
      <c r="Q233" s="106"/>
      <c r="R233" s="106"/>
      <c r="S233" s="106"/>
    </row>
    <row r="234" spans="1:19" s="105" customFormat="1" ht="56.25">
      <c r="A234" s="106"/>
      <c r="B234" s="194"/>
      <c r="C234" s="139"/>
      <c r="D234" s="140"/>
      <c r="E234" s="139"/>
      <c r="F234" s="139"/>
      <c r="G234" s="140"/>
      <c r="H234" s="139"/>
      <c r="I234" s="141"/>
      <c r="J234" s="142"/>
      <c r="K234" s="175" t="s">
        <v>419</v>
      </c>
      <c r="L234" s="105">
        <v>200000</v>
      </c>
      <c r="N234" s="106"/>
      <c r="O234" s="106"/>
      <c r="P234" s="106"/>
      <c r="Q234" s="106"/>
      <c r="R234" s="106"/>
      <c r="S234" s="106"/>
    </row>
    <row r="235" spans="1:19" s="105" customFormat="1" ht="37.5">
      <c r="A235" s="106"/>
      <c r="B235" s="194"/>
      <c r="C235" s="139"/>
      <c r="D235" s="140"/>
      <c r="E235" s="139"/>
      <c r="F235" s="139"/>
      <c r="G235" s="140"/>
      <c r="H235" s="139"/>
      <c r="I235" s="141"/>
      <c r="J235" s="142"/>
      <c r="K235" s="175" t="s">
        <v>436</v>
      </c>
      <c r="L235" s="105">
        <v>300000</v>
      </c>
      <c r="N235" s="106"/>
      <c r="O235" s="106"/>
      <c r="P235" s="106"/>
      <c r="Q235" s="106"/>
      <c r="R235" s="106"/>
      <c r="S235" s="106"/>
    </row>
    <row r="236" spans="1:19" s="105" customFormat="1" ht="56.25">
      <c r="A236" s="106"/>
      <c r="B236" s="194"/>
      <c r="C236" s="139"/>
      <c r="D236" s="140"/>
      <c r="E236" s="139"/>
      <c r="F236" s="139"/>
      <c r="G236" s="140"/>
      <c r="H236" s="139"/>
      <c r="I236" s="141"/>
      <c r="J236" s="142"/>
      <c r="K236" s="219" t="s">
        <v>437</v>
      </c>
      <c r="L236" s="105">
        <v>1800000</v>
      </c>
      <c r="N236" s="106"/>
      <c r="O236" s="106"/>
      <c r="P236" s="106"/>
      <c r="Q236" s="106"/>
      <c r="R236" s="106"/>
      <c r="S236" s="106"/>
    </row>
    <row r="237" spans="1:19" s="105" customFormat="1" ht="37.5">
      <c r="A237" s="106"/>
      <c r="B237" s="194"/>
      <c r="C237" s="139"/>
      <c r="D237" s="140"/>
      <c r="E237" s="139"/>
      <c r="F237" s="139"/>
      <c r="G237" s="140"/>
      <c r="H237" s="139"/>
      <c r="I237" s="141"/>
      <c r="J237" s="142"/>
      <c r="K237" s="219" t="s">
        <v>442</v>
      </c>
      <c r="L237" s="105">
        <v>50000</v>
      </c>
      <c r="N237" s="106"/>
      <c r="O237" s="106"/>
      <c r="P237" s="106"/>
      <c r="Q237" s="106"/>
      <c r="R237" s="106"/>
      <c r="S237" s="106"/>
    </row>
    <row r="238" spans="1:19" s="105" customFormat="1" ht="56.25">
      <c r="A238" s="106"/>
      <c r="B238" s="194"/>
      <c r="C238" s="139"/>
      <c r="D238" s="140"/>
      <c r="E238" s="139"/>
      <c r="F238" s="139"/>
      <c r="G238" s="140"/>
      <c r="H238" s="139"/>
      <c r="I238" s="141"/>
      <c r="J238" s="142"/>
      <c r="K238" s="219" t="s">
        <v>443</v>
      </c>
      <c r="L238" s="105">
        <v>240000</v>
      </c>
      <c r="N238" s="106"/>
      <c r="O238" s="106"/>
      <c r="P238" s="106"/>
      <c r="Q238" s="106"/>
      <c r="R238" s="106"/>
      <c r="S238" s="106"/>
    </row>
    <row r="239" spans="1:19" s="105" customFormat="1" ht="56.25">
      <c r="A239" s="106"/>
      <c r="B239" s="194"/>
      <c r="C239" s="139"/>
      <c r="D239" s="140"/>
      <c r="E239" s="139"/>
      <c r="F239" s="139"/>
      <c r="G239" s="140"/>
      <c r="H239" s="139"/>
      <c r="I239" s="141"/>
      <c r="J239" s="142"/>
      <c r="K239" s="219" t="s">
        <v>444</v>
      </c>
      <c r="L239" s="105">
        <v>180000</v>
      </c>
      <c r="N239" s="106"/>
      <c r="O239" s="106"/>
      <c r="P239" s="106"/>
      <c r="Q239" s="106"/>
      <c r="R239" s="106"/>
      <c r="S239" s="106"/>
    </row>
    <row r="240" spans="1:19" s="105" customFormat="1" ht="37.5">
      <c r="A240" s="106"/>
      <c r="B240" s="194"/>
      <c r="C240" s="139"/>
      <c r="D240" s="140"/>
      <c r="E240" s="139"/>
      <c r="F240" s="139"/>
      <c r="G240" s="140"/>
      <c r="H240" s="139"/>
      <c r="I240" s="141"/>
      <c r="J240" s="142"/>
      <c r="K240" s="219" t="s">
        <v>445</v>
      </c>
      <c r="L240" s="105">
        <v>100000</v>
      </c>
      <c r="N240" s="106"/>
      <c r="O240" s="106"/>
      <c r="P240" s="106"/>
      <c r="Q240" s="106"/>
      <c r="R240" s="106"/>
      <c r="S240" s="106"/>
    </row>
    <row r="241" spans="1:19" s="105" customFormat="1" ht="37.5">
      <c r="A241" s="106"/>
      <c r="B241" s="194"/>
      <c r="C241" s="139"/>
      <c r="D241" s="140"/>
      <c r="E241" s="139"/>
      <c r="F241" s="139"/>
      <c r="G241" s="140"/>
      <c r="H241" s="139"/>
      <c r="I241" s="141"/>
      <c r="J241" s="142"/>
      <c r="K241" s="219" t="s">
        <v>447</v>
      </c>
      <c r="L241" s="105">
        <v>37500</v>
      </c>
      <c r="N241" s="106"/>
      <c r="O241" s="106"/>
      <c r="P241" s="106"/>
      <c r="Q241" s="106"/>
      <c r="R241" s="106"/>
      <c r="S241" s="106"/>
    </row>
    <row r="242" spans="1:19" s="105" customFormat="1" ht="37.5">
      <c r="A242" s="106"/>
      <c r="B242" s="194"/>
      <c r="C242" s="139"/>
      <c r="D242" s="140"/>
      <c r="E242" s="139"/>
      <c r="F242" s="139"/>
      <c r="G242" s="140"/>
      <c r="H242" s="139"/>
      <c r="I242" s="141"/>
      <c r="J242" s="142"/>
      <c r="K242" s="219" t="s">
        <v>446</v>
      </c>
      <c r="L242" s="105">
        <v>30000</v>
      </c>
      <c r="N242" s="106"/>
      <c r="O242" s="106"/>
      <c r="P242" s="106"/>
      <c r="Q242" s="106"/>
      <c r="R242" s="106"/>
      <c r="S242" s="106"/>
    </row>
    <row r="243" spans="1:19" s="105" customFormat="1">
      <c r="A243" s="106"/>
      <c r="B243" s="194"/>
      <c r="C243" s="139"/>
      <c r="D243" s="140"/>
      <c r="E243" s="139"/>
      <c r="F243" s="139"/>
      <c r="G243" s="140"/>
      <c r="H243" s="139"/>
      <c r="I243" s="141"/>
      <c r="J243" s="142"/>
      <c r="K243" s="219" t="s">
        <v>448</v>
      </c>
      <c r="L243" s="105">
        <v>15000</v>
      </c>
      <c r="N243" s="106"/>
      <c r="O243" s="106"/>
      <c r="P243" s="106"/>
      <c r="Q243" s="106"/>
      <c r="R243" s="106"/>
      <c r="S243" s="106"/>
    </row>
    <row r="244" spans="1:19" s="105" customFormat="1">
      <c r="A244" s="106"/>
      <c r="B244" s="194"/>
      <c r="C244" s="139"/>
      <c r="D244" s="140"/>
      <c r="E244" s="139"/>
      <c r="F244" s="139"/>
      <c r="G244" s="140"/>
      <c r="H244" s="139"/>
      <c r="I244" s="141"/>
      <c r="J244" s="142"/>
      <c r="K244" s="219" t="s">
        <v>467</v>
      </c>
      <c r="L244" s="105">
        <v>2800000</v>
      </c>
      <c r="N244" s="106"/>
      <c r="O244" s="106"/>
      <c r="P244" s="106"/>
      <c r="Q244" s="106"/>
      <c r="R244" s="106"/>
      <c r="S244" s="106"/>
    </row>
    <row r="245" spans="1:19" s="105" customFormat="1">
      <c r="A245" s="106"/>
      <c r="B245" s="194"/>
      <c r="C245" s="139"/>
      <c r="D245" s="140"/>
      <c r="E245" s="139"/>
      <c r="F245" s="139"/>
      <c r="G245" s="140"/>
      <c r="H245" s="139"/>
      <c r="I245" s="141"/>
      <c r="J245" s="142"/>
      <c r="K245" s="219" t="s">
        <v>468</v>
      </c>
      <c r="L245" s="105">
        <v>180000</v>
      </c>
      <c r="N245" s="106"/>
      <c r="O245" s="106"/>
      <c r="P245" s="106"/>
      <c r="Q245" s="106"/>
      <c r="R245" s="106"/>
      <c r="S245" s="106"/>
    </row>
    <row r="246" spans="1:19" s="105" customFormat="1" ht="37.5">
      <c r="A246" s="106"/>
      <c r="B246" s="194"/>
      <c r="C246" s="139"/>
      <c r="D246" s="140"/>
      <c r="E246" s="139"/>
      <c r="F246" s="139"/>
      <c r="G246" s="140"/>
      <c r="H246" s="139"/>
      <c r="I246" s="141"/>
      <c r="J246" s="142"/>
      <c r="K246" s="219" t="s">
        <v>469</v>
      </c>
      <c r="L246" s="105">
        <v>460000</v>
      </c>
      <c r="N246" s="106"/>
      <c r="O246" s="106"/>
      <c r="P246" s="106"/>
      <c r="Q246" s="106"/>
      <c r="R246" s="106"/>
      <c r="S246" s="106"/>
    </row>
    <row r="247" spans="1:19" s="105" customFormat="1" ht="37.5">
      <c r="A247" s="106"/>
      <c r="B247" s="194"/>
      <c r="C247" s="139"/>
      <c r="D247" s="140"/>
      <c r="E247" s="139"/>
      <c r="F247" s="139"/>
      <c r="G247" s="140"/>
      <c r="H247" s="139"/>
      <c r="I247" s="141"/>
      <c r="J247" s="142"/>
      <c r="K247" s="219" t="s">
        <v>481</v>
      </c>
      <c r="L247" s="105">
        <v>202000</v>
      </c>
      <c r="N247" s="106"/>
      <c r="O247" s="106"/>
      <c r="P247" s="106"/>
      <c r="Q247" s="106"/>
      <c r="R247" s="106"/>
      <c r="S247" s="106"/>
    </row>
    <row r="248" spans="1:19" s="105" customFormat="1" ht="56.25">
      <c r="A248" s="106"/>
      <c r="B248" s="194"/>
      <c r="C248" s="139"/>
      <c r="D248" s="140"/>
      <c r="E248" s="139"/>
      <c r="F248" s="139"/>
      <c r="G248" s="140"/>
      <c r="H248" s="139"/>
      <c r="I248" s="141"/>
      <c r="J248" s="142"/>
      <c r="K248" s="219" t="s">
        <v>482</v>
      </c>
      <c r="L248" s="105">
        <v>300000</v>
      </c>
      <c r="N248" s="106"/>
      <c r="O248" s="106"/>
      <c r="P248" s="106"/>
      <c r="Q248" s="106"/>
      <c r="R248" s="106"/>
      <c r="S248" s="106"/>
    </row>
    <row r="249" spans="1:19" s="105" customFormat="1" ht="37.5">
      <c r="A249" s="106"/>
      <c r="B249" s="194"/>
      <c r="C249" s="139"/>
      <c r="D249" s="140"/>
      <c r="E249" s="139"/>
      <c r="F249" s="139"/>
      <c r="G249" s="140"/>
      <c r="H249" s="139"/>
      <c r="I249" s="141"/>
      <c r="J249" s="142"/>
      <c r="K249" s="219" t="s">
        <v>483</v>
      </c>
      <c r="L249" s="105">
        <v>30000</v>
      </c>
      <c r="N249" s="106"/>
      <c r="O249" s="106"/>
      <c r="P249" s="106"/>
      <c r="Q249" s="106"/>
      <c r="R249" s="106"/>
      <c r="S249" s="106"/>
    </row>
    <row r="250" spans="1:19" s="105" customFormat="1" ht="37.5">
      <c r="A250" s="106"/>
      <c r="B250" s="194"/>
      <c r="C250" s="139"/>
      <c r="D250" s="140"/>
      <c r="E250" s="139"/>
      <c r="F250" s="139"/>
      <c r="G250" s="140"/>
      <c r="H250" s="139"/>
      <c r="I250" s="141"/>
      <c r="J250" s="142"/>
      <c r="K250" s="219" t="s">
        <v>484</v>
      </c>
      <c r="L250" s="105">
        <v>100000</v>
      </c>
      <c r="N250" s="106"/>
      <c r="O250" s="106"/>
      <c r="P250" s="106"/>
      <c r="Q250" s="106"/>
      <c r="R250" s="106"/>
      <c r="S250" s="106"/>
    </row>
    <row r="251" spans="1:19" s="105" customFormat="1" ht="37.5">
      <c r="A251" s="106"/>
      <c r="B251" s="194"/>
      <c r="C251" s="139"/>
      <c r="D251" s="140"/>
      <c r="E251" s="139"/>
      <c r="F251" s="139"/>
      <c r="G251" s="140"/>
      <c r="H251" s="139"/>
      <c r="I251" s="141"/>
      <c r="J251" s="142"/>
      <c r="K251" s="219" t="s">
        <v>486</v>
      </c>
      <c r="L251" s="105">
        <v>18000</v>
      </c>
      <c r="N251" s="106"/>
      <c r="O251" s="106"/>
      <c r="P251" s="106"/>
      <c r="Q251" s="106"/>
      <c r="R251" s="106"/>
      <c r="S251" s="106"/>
    </row>
    <row r="252" spans="1:19" s="105" customFormat="1" ht="37.5">
      <c r="A252" s="106"/>
      <c r="B252" s="194" t="s">
        <v>87</v>
      </c>
      <c r="C252" s="139"/>
      <c r="D252" s="140"/>
      <c r="E252" s="139">
        <v>3.9832999999999998</v>
      </c>
      <c r="F252" s="139"/>
      <c r="G252" s="140"/>
      <c r="H252" s="139">
        <v>18.8093</v>
      </c>
      <c r="I252" s="141">
        <f t="shared" si="14"/>
        <v>14.826000000000001</v>
      </c>
      <c r="J252" s="142">
        <f t="shared" si="15"/>
        <v>78.822710042372663</v>
      </c>
      <c r="K252" s="175" t="s">
        <v>403</v>
      </c>
      <c r="L252" s="105">
        <f>SUM(L253:L258)</f>
        <v>18809300</v>
      </c>
      <c r="N252" s="106"/>
      <c r="O252" s="106"/>
      <c r="P252" s="106"/>
      <c r="Q252" s="106"/>
      <c r="R252" s="106"/>
      <c r="S252" s="106"/>
    </row>
    <row r="253" spans="1:19" s="105" customFormat="1">
      <c r="A253" s="106"/>
      <c r="B253" s="194"/>
      <c r="C253" s="139"/>
      <c r="D253" s="140"/>
      <c r="E253" s="139"/>
      <c r="F253" s="139"/>
      <c r="G253" s="140"/>
      <c r="H253" s="139"/>
      <c r="I253" s="141"/>
      <c r="J253" s="142"/>
      <c r="K253" s="143" t="s">
        <v>420</v>
      </c>
      <c r="L253" s="105">
        <v>3645800</v>
      </c>
      <c r="N253" s="106"/>
      <c r="O253" s="106"/>
      <c r="P253" s="106"/>
      <c r="Q253" s="106"/>
      <c r="R253" s="106"/>
      <c r="S253" s="106"/>
    </row>
    <row r="254" spans="1:19" s="105" customFormat="1" ht="37.5">
      <c r="A254" s="106"/>
      <c r="B254" s="194"/>
      <c r="C254" s="139"/>
      <c r="D254" s="140"/>
      <c r="E254" s="139"/>
      <c r="F254" s="139"/>
      <c r="G254" s="140"/>
      <c r="H254" s="139"/>
      <c r="I254" s="141"/>
      <c r="J254" s="142"/>
      <c r="K254" s="175" t="s">
        <v>429</v>
      </c>
      <c r="L254" s="105">
        <v>5693100</v>
      </c>
      <c r="N254" s="106"/>
      <c r="O254" s="106"/>
      <c r="P254" s="106"/>
      <c r="Q254" s="106"/>
      <c r="R254" s="106"/>
      <c r="S254" s="106"/>
    </row>
    <row r="255" spans="1:19" s="105" customFormat="1" ht="37.5">
      <c r="A255" s="106"/>
      <c r="B255" s="194"/>
      <c r="C255" s="139"/>
      <c r="D255" s="140"/>
      <c r="E255" s="139"/>
      <c r="F255" s="139"/>
      <c r="G255" s="140"/>
      <c r="H255" s="139"/>
      <c r="I255" s="141"/>
      <c r="J255" s="142"/>
      <c r="K255" s="175" t="s">
        <v>449</v>
      </c>
      <c r="L255" s="105">
        <f>897500+700000</f>
        <v>1597500</v>
      </c>
      <c r="N255" s="106"/>
      <c r="O255" s="106"/>
      <c r="P255" s="106"/>
      <c r="Q255" s="106"/>
      <c r="R255" s="106"/>
      <c r="S255" s="106"/>
    </row>
    <row r="256" spans="1:19" s="105" customFormat="1">
      <c r="A256" s="106"/>
      <c r="B256" s="194"/>
      <c r="C256" s="139"/>
      <c r="D256" s="140"/>
      <c r="E256" s="139"/>
      <c r="F256" s="139"/>
      <c r="G256" s="140"/>
      <c r="H256" s="139"/>
      <c r="I256" s="141"/>
      <c r="J256" s="142"/>
      <c r="K256" s="143" t="s">
        <v>470</v>
      </c>
      <c r="L256" s="105">
        <v>7439700</v>
      </c>
      <c r="N256" s="106"/>
      <c r="O256" s="106"/>
      <c r="P256" s="106"/>
      <c r="Q256" s="106"/>
      <c r="R256" s="106"/>
      <c r="S256" s="106"/>
    </row>
    <row r="257" spans="1:19" s="105" customFormat="1" ht="37.5">
      <c r="A257" s="106"/>
      <c r="B257" s="194"/>
      <c r="C257" s="139"/>
      <c r="D257" s="140"/>
      <c r="E257" s="139"/>
      <c r="F257" s="139"/>
      <c r="G257" s="140"/>
      <c r="H257" s="139"/>
      <c r="I257" s="141"/>
      <c r="J257" s="142"/>
      <c r="K257" s="175" t="s">
        <v>489</v>
      </c>
      <c r="L257" s="105">
        <v>216600</v>
      </c>
      <c r="N257" s="106"/>
      <c r="O257" s="106"/>
      <c r="P257" s="106"/>
      <c r="Q257" s="106"/>
      <c r="R257" s="106"/>
      <c r="S257" s="106"/>
    </row>
    <row r="258" spans="1:19" s="105" customFormat="1" ht="37.5">
      <c r="A258" s="106"/>
      <c r="B258" s="194"/>
      <c r="C258" s="139"/>
      <c r="D258" s="140"/>
      <c r="E258" s="139"/>
      <c r="F258" s="139"/>
      <c r="G258" s="140"/>
      <c r="H258" s="139"/>
      <c r="I258" s="141"/>
      <c r="J258" s="142"/>
      <c r="K258" s="175" t="s">
        <v>490</v>
      </c>
      <c r="L258" s="105">
        <v>216600</v>
      </c>
      <c r="N258" s="106"/>
      <c r="O258" s="106"/>
      <c r="P258" s="106"/>
      <c r="Q258" s="106"/>
      <c r="R258" s="106"/>
      <c r="S258" s="106"/>
    </row>
    <row r="259" spans="1:19" s="105" customFormat="1" ht="63.75" customHeight="1">
      <c r="A259" s="106"/>
      <c r="B259" s="194" t="s">
        <v>88</v>
      </c>
      <c r="C259" s="139"/>
      <c r="D259" s="140"/>
      <c r="E259" s="139">
        <v>2.3793000000000002</v>
      </c>
      <c r="F259" s="139"/>
      <c r="G259" s="140"/>
      <c r="H259" s="139">
        <v>2.9323000000000001</v>
      </c>
      <c r="I259" s="141">
        <f t="shared" si="14"/>
        <v>0.55299999999999994</v>
      </c>
      <c r="J259" s="142">
        <f t="shared" si="15"/>
        <v>18.858916209119119</v>
      </c>
      <c r="K259" s="175" t="s">
        <v>404</v>
      </c>
      <c r="L259" s="105">
        <f>SUM(L260:L263)</f>
        <v>2932300</v>
      </c>
      <c r="N259" s="106"/>
      <c r="O259" s="106"/>
      <c r="P259" s="106"/>
      <c r="Q259" s="106"/>
      <c r="R259" s="106"/>
      <c r="S259" s="106"/>
    </row>
    <row r="260" spans="1:19" s="105" customFormat="1" ht="24" customHeight="1">
      <c r="A260" s="106"/>
      <c r="B260" s="194"/>
      <c r="C260" s="139"/>
      <c r="D260" s="140"/>
      <c r="E260" s="139"/>
      <c r="F260" s="139"/>
      <c r="G260" s="140"/>
      <c r="H260" s="139"/>
      <c r="I260" s="141"/>
      <c r="J260" s="142"/>
      <c r="K260" s="175" t="s">
        <v>421</v>
      </c>
      <c r="L260" s="105">
        <v>30000</v>
      </c>
      <c r="N260" s="106"/>
      <c r="O260" s="106"/>
      <c r="P260" s="106"/>
      <c r="Q260" s="106"/>
      <c r="R260" s="106"/>
      <c r="S260" s="106"/>
    </row>
    <row r="261" spans="1:19" s="105" customFormat="1" ht="45" customHeight="1">
      <c r="A261" s="106"/>
      <c r="B261" s="194"/>
      <c r="C261" s="139"/>
      <c r="D261" s="140"/>
      <c r="E261" s="139"/>
      <c r="F261" s="139"/>
      <c r="G261" s="140"/>
      <c r="H261" s="139"/>
      <c r="I261" s="141"/>
      <c r="J261" s="142"/>
      <c r="K261" s="175" t="s">
        <v>430</v>
      </c>
      <c r="L261" s="105">
        <v>1852300</v>
      </c>
      <c r="N261" s="106"/>
      <c r="O261" s="106"/>
      <c r="P261" s="106"/>
      <c r="Q261" s="106"/>
      <c r="R261" s="106"/>
      <c r="S261" s="106"/>
    </row>
    <row r="262" spans="1:19" s="105" customFormat="1" ht="29.25" customHeight="1">
      <c r="A262" s="106"/>
      <c r="B262" s="194"/>
      <c r="C262" s="139"/>
      <c r="D262" s="140"/>
      <c r="E262" s="139"/>
      <c r="F262" s="139"/>
      <c r="G262" s="140"/>
      <c r="H262" s="139"/>
      <c r="I262" s="141"/>
      <c r="J262" s="142"/>
      <c r="K262" s="219" t="s">
        <v>471</v>
      </c>
      <c r="L262" s="105">
        <v>800000</v>
      </c>
      <c r="N262" s="106"/>
      <c r="O262" s="106"/>
      <c r="P262" s="106"/>
      <c r="Q262" s="106"/>
      <c r="R262" s="106"/>
      <c r="S262" s="106"/>
    </row>
    <row r="263" spans="1:19" s="105" customFormat="1" ht="72.75" customHeight="1">
      <c r="A263" s="106"/>
      <c r="B263" s="194"/>
      <c r="C263" s="139"/>
      <c r="D263" s="140"/>
      <c r="E263" s="139"/>
      <c r="F263" s="139"/>
      <c r="G263" s="140"/>
      <c r="H263" s="139"/>
      <c r="I263" s="141"/>
      <c r="J263" s="142"/>
      <c r="K263" s="175" t="s">
        <v>441</v>
      </c>
      <c r="L263" s="105">
        <v>250000</v>
      </c>
      <c r="N263" s="106"/>
      <c r="O263" s="106"/>
      <c r="P263" s="106"/>
      <c r="Q263" s="106"/>
      <c r="R263" s="106"/>
      <c r="S263" s="106"/>
    </row>
    <row r="264" spans="1:19" s="105" customFormat="1" ht="22.5" customHeight="1">
      <c r="A264" s="106"/>
      <c r="B264" s="194" t="s">
        <v>1006</v>
      </c>
      <c r="C264" s="139"/>
      <c r="D264" s="140"/>
      <c r="E264" s="139"/>
      <c r="F264" s="139"/>
      <c r="G264" s="140"/>
      <c r="H264" s="139">
        <v>15</v>
      </c>
      <c r="I264" s="141">
        <f t="shared" si="14"/>
        <v>15</v>
      </c>
      <c r="J264" s="142">
        <f t="shared" si="15"/>
        <v>100</v>
      </c>
      <c r="K264" s="175" t="s">
        <v>1007</v>
      </c>
      <c r="N264" s="106"/>
      <c r="O264" s="106"/>
      <c r="P264" s="106"/>
      <c r="Q264" s="106"/>
      <c r="R264" s="106"/>
      <c r="S264" s="106"/>
    </row>
    <row r="265" spans="1:19" s="105" customFormat="1" ht="47.25" customHeight="1">
      <c r="A265" s="106"/>
      <c r="B265" s="194" t="s">
        <v>1008</v>
      </c>
      <c r="C265" s="139"/>
      <c r="D265" s="140"/>
      <c r="E265" s="139"/>
      <c r="F265" s="139"/>
      <c r="G265" s="140"/>
      <c r="H265" s="139">
        <v>12.6996</v>
      </c>
      <c r="I265" s="141">
        <f t="shared" si="14"/>
        <v>12.6996</v>
      </c>
      <c r="J265" s="142">
        <f t="shared" si="15"/>
        <v>100</v>
      </c>
      <c r="K265" s="175" t="s">
        <v>422</v>
      </c>
      <c r="L265" s="105">
        <f>SUM(L266:L267)</f>
        <v>12699600</v>
      </c>
      <c r="N265" s="106"/>
      <c r="O265" s="106"/>
      <c r="P265" s="106"/>
      <c r="Q265" s="106"/>
      <c r="R265" s="106"/>
      <c r="S265" s="106"/>
    </row>
    <row r="266" spans="1:19" s="105" customFormat="1" ht="48" customHeight="1">
      <c r="A266" s="106"/>
      <c r="B266" s="194"/>
      <c r="C266" s="139"/>
      <c r="D266" s="140"/>
      <c r="E266" s="139"/>
      <c r="F266" s="139"/>
      <c r="G266" s="140"/>
      <c r="H266" s="139"/>
      <c r="I266" s="141"/>
      <c r="J266" s="142"/>
      <c r="K266" s="175" t="s">
        <v>423</v>
      </c>
      <c r="L266" s="105">
        <v>968400</v>
      </c>
      <c r="N266" s="106"/>
      <c r="O266" s="106"/>
      <c r="P266" s="106"/>
      <c r="Q266" s="106"/>
      <c r="R266" s="106"/>
      <c r="S266" s="106"/>
    </row>
    <row r="267" spans="1:19" s="105" customFormat="1" ht="51" customHeight="1">
      <c r="A267" s="106"/>
      <c r="B267" s="194"/>
      <c r="C267" s="139"/>
      <c r="D267" s="140"/>
      <c r="E267" s="139"/>
      <c r="F267" s="139"/>
      <c r="G267" s="140"/>
      <c r="H267" s="139"/>
      <c r="I267" s="141"/>
      <c r="J267" s="142"/>
      <c r="K267" s="219" t="s">
        <v>431</v>
      </c>
      <c r="L267" s="320">
        <v>11731200</v>
      </c>
      <c r="N267" s="106"/>
      <c r="O267" s="106"/>
      <c r="P267" s="106"/>
      <c r="Q267" s="106"/>
      <c r="R267" s="106"/>
      <c r="S267" s="106"/>
    </row>
    <row r="268" spans="1:19" s="105" customFormat="1" ht="27" customHeight="1">
      <c r="A268" s="106"/>
      <c r="B268" s="194" t="s">
        <v>473</v>
      </c>
      <c r="C268" s="139"/>
      <c r="D268" s="140"/>
      <c r="E268" s="139"/>
      <c r="F268" s="139"/>
      <c r="G268" s="140"/>
      <c r="H268" s="139">
        <v>0.02</v>
      </c>
      <c r="I268" s="141">
        <f t="shared" ref="I268:I331" si="16">+H268-E268</f>
        <v>0.02</v>
      </c>
      <c r="J268" s="142">
        <f t="shared" ref="J268:J331" si="17">+I268*100/H268</f>
        <v>100</v>
      </c>
      <c r="K268" s="219" t="s">
        <v>474</v>
      </c>
      <c r="L268" s="320">
        <v>20000</v>
      </c>
      <c r="N268" s="106"/>
      <c r="O268" s="106"/>
      <c r="P268" s="106"/>
      <c r="Q268" s="106"/>
      <c r="R268" s="106"/>
      <c r="S268" s="106"/>
    </row>
    <row r="269" spans="1:19" s="105" customFormat="1" ht="27.75" customHeight="1">
      <c r="A269" s="106"/>
      <c r="B269" s="194" t="s">
        <v>487</v>
      </c>
      <c r="C269" s="139"/>
      <c r="D269" s="140"/>
      <c r="E269" s="139"/>
      <c r="F269" s="139"/>
      <c r="G269" s="140"/>
      <c r="H269" s="139">
        <v>0.1</v>
      </c>
      <c r="I269" s="141">
        <f t="shared" si="16"/>
        <v>0.1</v>
      </c>
      <c r="J269" s="142">
        <f t="shared" si="17"/>
        <v>100</v>
      </c>
      <c r="K269" s="219" t="s">
        <v>488</v>
      </c>
      <c r="L269" s="320">
        <v>100000</v>
      </c>
      <c r="N269" s="106"/>
      <c r="O269" s="106"/>
      <c r="P269" s="106"/>
      <c r="Q269" s="106"/>
      <c r="R269" s="106"/>
      <c r="S269" s="106"/>
    </row>
    <row r="270" spans="1:19" s="105" customFormat="1" ht="40.5">
      <c r="A270" s="106"/>
      <c r="B270" s="175" t="s">
        <v>69</v>
      </c>
      <c r="C270" s="139"/>
      <c r="D270" s="140"/>
      <c r="E270" s="139"/>
      <c r="F270" s="139"/>
      <c r="G270" s="140"/>
      <c r="H270" s="139">
        <v>1.764</v>
      </c>
      <c r="I270" s="141">
        <f t="shared" si="16"/>
        <v>1.764</v>
      </c>
      <c r="J270" s="142">
        <f t="shared" si="17"/>
        <v>100</v>
      </c>
      <c r="K270" s="143"/>
      <c r="N270" s="106"/>
      <c r="O270" s="106"/>
      <c r="P270" s="106"/>
      <c r="Q270" s="106"/>
      <c r="R270" s="106"/>
      <c r="S270" s="106"/>
    </row>
    <row r="271" spans="1:19" s="105" customFormat="1">
      <c r="A271" s="106"/>
      <c r="B271" s="194" t="s">
        <v>2</v>
      </c>
      <c r="C271" s="139"/>
      <c r="D271" s="140"/>
      <c r="E271" s="139"/>
      <c r="F271" s="139"/>
      <c r="G271" s="140"/>
      <c r="H271" s="139"/>
      <c r="I271" s="141"/>
      <c r="J271" s="142"/>
      <c r="K271" s="143"/>
      <c r="N271" s="106"/>
      <c r="O271" s="106"/>
      <c r="P271" s="106"/>
      <c r="Q271" s="106"/>
      <c r="R271" s="106"/>
      <c r="S271" s="106"/>
    </row>
    <row r="272" spans="1:19" s="105" customFormat="1">
      <c r="A272" s="106"/>
      <c r="B272" s="194" t="s">
        <v>3</v>
      </c>
      <c r="C272" s="139"/>
      <c r="D272" s="140"/>
      <c r="E272" s="139"/>
      <c r="F272" s="139"/>
      <c r="G272" s="140"/>
      <c r="H272" s="139"/>
      <c r="I272" s="141"/>
      <c r="J272" s="142"/>
      <c r="K272" s="143"/>
      <c r="L272" s="105">
        <f>SUM(L273:L279)</f>
        <v>1764000</v>
      </c>
      <c r="N272" s="106"/>
      <c r="O272" s="106"/>
      <c r="P272" s="106"/>
      <c r="Q272" s="106"/>
      <c r="R272" s="106"/>
      <c r="S272" s="106"/>
    </row>
    <row r="273" spans="1:19" s="105" customFormat="1" ht="56.25">
      <c r="A273" s="106"/>
      <c r="B273" s="194" t="s">
        <v>405</v>
      </c>
      <c r="C273" s="139"/>
      <c r="D273" s="140"/>
      <c r="E273" s="139"/>
      <c r="F273" s="139"/>
      <c r="G273" s="140"/>
      <c r="H273" s="139"/>
      <c r="I273" s="141"/>
      <c r="J273" s="142"/>
      <c r="K273" s="175" t="s">
        <v>406</v>
      </c>
      <c r="L273" s="105">
        <v>360000</v>
      </c>
      <c r="N273" s="106"/>
      <c r="O273" s="106"/>
      <c r="P273" s="106"/>
      <c r="Q273" s="106"/>
      <c r="R273" s="106"/>
      <c r="S273" s="106"/>
    </row>
    <row r="274" spans="1:19" s="105" customFormat="1" ht="37.5">
      <c r="A274" s="106"/>
      <c r="B274" s="194" t="s">
        <v>435</v>
      </c>
      <c r="C274" s="139"/>
      <c r="D274" s="140"/>
      <c r="E274" s="139"/>
      <c r="F274" s="139"/>
      <c r="G274" s="140"/>
      <c r="H274" s="139"/>
      <c r="I274" s="141"/>
      <c r="J274" s="142"/>
      <c r="K274" s="175" t="s">
        <v>432</v>
      </c>
      <c r="L274" s="105">
        <v>180000</v>
      </c>
      <c r="N274" s="106"/>
      <c r="O274" s="106"/>
      <c r="P274" s="106"/>
      <c r="Q274" s="106"/>
      <c r="R274" s="106"/>
      <c r="S274" s="106"/>
    </row>
    <row r="275" spans="1:19" s="105" customFormat="1" ht="48" customHeight="1">
      <c r="A275" s="106"/>
      <c r="B275" s="194"/>
      <c r="C275" s="139"/>
      <c r="D275" s="140"/>
      <c r="E275" s="139"/>
      <c r="F275" s="139"/>
      <c r="G275" s="140"/>
      <c r="H275" s="139"/>
      <c r="I275" s="141"/>
      <c r="J275" s="142"/>
      <c r="K275" s="175" t="s">
        <v>433</v>
      </c>
      <c r="L275" s="105">
        <v>540000</v>
      </c>
      <c r="N275" s="106"/>
      <c r="O275" s="106"/>
      <c r="P275" s="106"/>
      <c r="Q275" s="106"/>
      <c r="R275" s="106"/>
      <c r="S275" s="106"/>
    </row>
    <row r="276" spans="1:19" s="105" customFormat="1" ht="56.25">
      <c r="A276" s="106"/>
      <c r="B276" s="194"/>
      <c r="C276" s="139"/>
      <c r="D276" s="140"/>
      <c r="E276" s="139"/>
      <c r="F276" s="139"/>
      <c r="G276" s="140"/>
      <c r="H276" s="139"/>
      <c r="I276" s="141"/>
      <c r="J276" s="142"/>
      <c r="K276" s="175" t="s">
        <v>434</v>
      </c>
      <c r="L276" s="105">
        <v>180000</v>
      </c>
      <c r="N276" s="106"/>
      <c r="O276" s="106"/>
      <c r="P276" s="106"/>
      <c r="Q276" s="106"/>
      <c r="R276" s="106"/>
      <c r="S276" s="106"/>
    </row>
    <row r="277" spans="1:19" s="105" customFormat="1" ht="37.5">
      <c r="A277" s="106"/>
      <c r="B277" s="194" t="s">
        <v>450</v>
      </c>
      <c r="C277" s="139"/>
      <c r="D277" s="140"/>
      <c r="E277" s="139"/>
      <c r="F277" s="139"/>
      <c r="G277" s="140"/>
      <c r="H277" s="139"/>
      <c r="I277" s="141"/>
      <c r="J277" s="142"/>
      <c r="K277" s="175" t="s">
        <v>451</v>
      </c>
      <c r="L277" s="105">
        <v>180000</v>
      </c>
      <c r="N277" s="106"/>
      <c r="O277" s="106"/>
      <c r="P277" s="106"/>
      <c r="Q277" s="106"/>
      <c r="R277" s="106"/>
      <c r="S277" s="106"/>
    </row>
    <row r="278" spans="1:19" s="105" customFormat="1" ht="37.5">
      <c r="A278" s="106"/>
      <c r="B278" s="194" t="s">
        <v>454</v>
      </c>
      <c r="C278" s="139"/>
      <c r="D278" s="140"/>
      <c r="E278" s="139"/>
      <c r="F278" s="139"/>
      <c r="G278" s="140"/>
      <c r="H278" s="139"/>
      <c r="I278" s="141"/>
      <c r="J278" s="142"/>
      <c r="K278" s="175" t="s">
        <v>455</v>
      </c>
      <c r="L278" s="105">
        <v>144000</v>
      </c>
      <c r="N278" s="106"/>
      <c r="O278" s="106"/>
      <c r="P278" s="106"/>
      <c r="Q278" s="106"/>
      <c r="R278" s="106"/>
      <c r="S278" s="106"/>
    </row>
    <row r="279" spans="1:19" s="105" customFormat="1" ht="37.5">
      <c r="A279" s="106"/>
      <c r="B279" s="194" t="s">
        <v>493</v>
      </c>
      <c r="C279" s="139"/>
      <c r="D279" s="140"/>
      <c r="E279" s="139"/>
      <c r="F279" s="139"/>
      <c r="G279" s="140"/>
      <c r="H279" s="139"/>
      <c r="I279" s="141"/>
      <c r="J279" s="142"/>
      <c r="K279" s="175" t="s">
        <v>485</v>
      </c>
      <c r="L279" s="105">
        <v>180000</v>
      </c>
      <c r="N279" s="106"/>
      <c r="O279" s="106"/>
      <c r="P279" s="106"/>
      <c r="Q279" s="106"/>
      <c r="R279" s="106"/>
      <c r="S279" s="106"/>
    </row>
    <row r="280" spans="1:19" s="105" customFormat="1">
      <c r="A280" s="106"/>
      <c r="B280" s="194"/>
      <c r="C280" s="139"/>
      <c r="D280" s="140"/>
      <c r="E280" s="139"/>
      <c r="F280" s="139"/>
      <c r="G280" s="140"/>
      <c r="H280" s="139"/>
      <c r="I280" s="141"/>
      <c r="J280" s="142"/>
      <c r="K280" s="143"/>
      <c r="N280" s="106"/>
      <c r="O280" s="106"/>
      <c r="P280" s="106"/>
      <c r="Q280" s="106"/>
      <c r="R280" s="106"/>
      <c r="S280" s="106"/>
    </row>
    <row r="281" spans="1:19" s="105" customFormat="1">
      <c r="A281" s="106"/>
      <c r="B281" s="175" t="s">
        <v>22</v>
      </c>
      <c r="C281" s="139"/>
      <c r="D281" s="140"/>
      <c r="E281" s="139"/>
      <c r="F281" s="139"/>
      <c r="G281" s="140"/>
      <c r="H281" s="139"/>
      <c r="I281" s="141"/>
      <c r="J281" s="142"/>
      <c r="K281" s="143"/>
      <c r="N281" s="106"/>
      <c r="O281" s="106"/>
      <c r="P281" s="106"/>
      <c r="Q281" s="106"/>
      <c r="R281" s="106"/>
      <c r="S281" s="106"/>
    </row>
    <row r="282" spans="1:19" s="105" customFormat="1">
      <c r="A282" s="106"/>
      <c r="B282" s="194" t="s">
        <v>21</v>
      </c>
      <c r="C282" s="139"/>
      <c r="D282" s="140"/>
      <c r="E282" s="139"/>
      <c r="F282" s="139"/>
      <c r="G282" s="140"/>
      <c r="H282" s="139"/>
      <c r="I282" s="141"/>
      <c r="J282" s="142"/>
      <c r="K282" s="143"/>
      <c r="N282" s="106"/>
      <c r="O282" s="106"/>
      <c r="P282" s="106"/>
      <c r="Q282" s="106"/>
      <c r="R282" s="106"/>
      <c r="S282" s="106"/>
    </row>
    <row r="283" spans="1:19" s="105" customFormat="1">
      <c r="A283" s="106"/>
      <c r="B283" s="175" t="s">
        <v>20</v>
      </c>
      <c r="C283" s="139"/>
      <c r="D283" s="140"/>
      <c r="E283" s="139"/>
      <c r="F283" s="139"/>
      <c r="G283" s="140"/>
      <c r="H283" s="139"/>
      <c r="I283" s="141"/>
      <c r="J283" s="142"/>
      <c r="K283" s="143"/>
      <c r="N283" s="106"/>
      <c r="O283" s="106"/>
      <c r="P283" s="106"/>
      <c r="Q283" s="106"/>
      <c r="R283" s="106"/>
      <c r="S283" s="106"/>
    </row>
    <row r="284" spans="1:19" s="105" customFormat="1">
      <c r="A284" s="106"/>
      <c r="B284" s="194" t="s">
        <v>17</v>
      </c>
      <c r="C284" s="139"/>
      <c r="D284" s="140"/>
      <c r="E284" s="139"/>
      <c r="F284" s="139"/>
      <c r="G284" s="140"/>
      <c r="H284" s="139"/>
      <c r="I284" s="141"/>
      <c r="J284" s="142"/>
      <c r="K284" s="143"/>
      <c r="N284" s="106"/>
      <c r="O284" s="106"/>
      <c r="P284" s="106"/>
      <c r="Q284" s="106"/>
      <c r="R284" s="106"/>
      <c r="S284" s="106"/>
    </row>
    <row r="285" spans="1:19" s="105" customFormat="1">
      <c r="A285" s="106"/>
      <c r="B285" s="175" t="s">
        <v>44</v>
      </c>
      <c r="C285" s="139"/>
      <c r="D285" s="140"/>
      <c r="E285" s="139">
        <f>SUM(E286:E291)</f>
        <v>2.1408</v>
      </c>
      <c r="F285" s="139"/>
      <c r="G285" s="140"/>
      <c r="H285" s="139">
        <f>SUM(H286:H291)</f>
        <v>2.4</v>
      </c>
      <c r="I285" s="141">
        <f t="shared" si="16"/>
        <v>0.25919999999999987</v>
      </c>
      <c r="J285" s="142">
        <f t="shared" si="17"/>
        <v>10.799999999999995</v>
      </c>
      <c r="K285" s="143"/>
      <c r="N285" s="106"/>
      <c r="O285" s="106"/>
      <c r="P285" s="106"/>
      <c r="Q285" s="106"/>
      <c r="R285" s="106"/>
      <c r="S285" s="106"/>
    </row>
    <row r="286" spans="1:19" s="105" customFormat="1" ht="37.5">
      <c r="A286" s="106"/>
      <c r="B286" s="194" t="s">
        <v>90</v>
      </c>
      <c r="C286" s="139"/>
      <c r="D286" s="140"/>
      <c r="E286" s="139">
        <v>1.3888</v>
      </c>
      <c r="F286" s="139"/>
      <c r="G286" s="140"/>
      <c r="H286" s="139">
        <v>1.4</v>
      </c>
      <c r="I286" s="141">
        <f t="shared" si="16"/>
        <v>1.1199999999999877E-2</v>
      </c>
      <c r="J286" s="142">
        <f t="shared" si="17"/>
        <v>0.79999999999999127</v>
      </c>
      <c r="K286" s="175" t="s">
        <v>456</v>
      </c>
      <c r="N286" s="106"/>
      <c r="O286" s="106"/>
      <c r="P286" s="106"/>
      <c r="Q286" s="106"/>
      <c r="R286" s="106"/>
      <c r="S286" s="106"/>
    </row>
    <row r="287" spans="1:19" s="105" customFormat="1">
      <c r="A287" s="106"/>
      <c r="B287" s="194"/>
      <c r="C287" s="139"/>
      <c r="D287" s="140"/>
      <c r="E287" s="139"/>
      <c r="F287" s="139"/>
      <c r="G287" s="140"/>
      <c r="H287" s="139"/>
      <c r="I287" s="141"/>
      <c r="J287" s="142"/>
      <c r="K287" s="175" t="s">
        <v>457</v>
      </c>
      <c r="L287" s="105">
        <v>200000</v>
      </c>
      <c r="N287" s="106"/>
      <c r="O287" s="106"/>
      <c r="P287" s="106"/>
      <c r="Q287" s="106"/>
      <c r="R287" s="106"/>
      <c r="S287" s="106"/>
    </row>
    <row r="288" spans="1:19" s="105" customFormat="1">
      <c r="A288" s="106"/>
      <c r="B288" s="194"/>
      <c r="C288" s="139"/>
      <c r="D288" s="140"/>
      <c r="E288" s="139"/>
      <c r="F288" s="139"/>
      <c r="G288" s="140"/>
      <c r="H288" s="139"/>
      <c r="I288" s="141"/>
      <c r="J288" s="142"/>
      <c r="K288" s="175"/>
      <c r="N288" s="106"/>
      <c r="O288" s="106"/>
      <c r="P288" s="106"/>
      <c r="Q288" s="106"/>
      <c r="R288" s="106"/>
      <c r="S288" s="106"/>
    </row>
    <row r="289" spans="1:19" s="105" customFormat="1">
      <c r="A289" s="106"/>
      <c r="B289" s="194"/>
      <c r="C289" s="139"/>
      <c r="D289" s="140"/>
      <c r="E289" s="139"/>
      <c r="F289" s="139"/>
      <c r="G289" s="140"/>
      <c r="H289" s="139"/>
      <c r="I289" s="141"/>
      <c r="J289" s="142"/>
      <c r="K289" s="175"/>
      <c r="N289" s="106"/>
      <c r="O289" s="106"/>
      <c r="P289" s="106"/>
      <c r="Q289" s="106"/>
      <c r="R289" s="106"/>
      <c r="S289" s="106"/>
    </row>
    <row r="290" spans="1:19" s="105" customFormat="1">
      <c r="A290" s="106"/>
      <c r="B290" s="194"/>
      <c r="C290" s="139"/>
      <c r="D290" s="140"/>
      <c r="E290" s="139"/>
      <c r="F290" s="139"/>
      <c r="G290" s="140"/>
      <c r="H290" s="139"/>
      <c r="I290" s="141"/>
      <c r="J290" s="142"/>
      <c r="K290" s="143"/>
      <c r="N290" s="106"/>
      <c r="O290" s="106"/>
      <c r="P290" s="106"/>
      <c r="Q290" s="106"/>
      <c r="R290" s="106"/>
      <c r="S290" s="106"/>
    </row>
    <row r="291" spans="1:19" s="105" customFormat="1" ht="37.5">
      <c r="A291" s="106"/>
      <c r="B291" s="194" t="s">
        <v>91</v>
      </c>
      <c r="C291" s="139"/>
      <c r="D291" s="140"/>
      <c r="E291" s="139">
        <v>0.752</v>
      </c>
      <c r="F291" s="139"/>
      <c r="G291" s="140"/>
      <c r="H291" s="139">
        <v>1</v>
      </c>
      <c r="I291" s="141">
        <f t="shared" si="16"/>
        <v>0.248</v>
      </c>
      <c r="J291" s="142">
        <f t="shared" si="17"/>
        <v>24.8</v>
      </c>
      <c r="K291" s="175" t="s">
        <v>458</v>
      </c>
      <c r="L291" s="105">
        <v>100000</v>
      </c>
      <c r="N291" s="106"/>
      <c r="O291" s="106"/>
      <c r="P291" s="106"/>
      <c r="Q291" s="106"/>
      <c r="R291" s="106"/>
      <c r="S291" s="106"/>
    </row>
    <row r="292" spans="1:19" s="105" customFormat="1">
      <c r="A292" s="106"/>
      <c r="B292" s="194"/>
      <c r="C292" s="139"/>
      <c r="D292" s="140"/>
      <c r="E292" s="139"/>
      <c r="F292" s="139"/>
      <c r="G292" s="140"/>
      <c r="H292" s="139"/>
      <c r="I292" s="141"/>
      <c r="J292" s="142"/>
      <c r="K292" s="175"/>
      <c r="N292" s="106"/>
      <c r="O292" s="106"/>
      <c r="P292" s="106"/>
      <c r="Q292" s="106"/>
      <c r="R292" s="106"/>
      <c r="S292" s="106"/>
    </row>
    <row r="293" spans="1:19" s="105" customFormat="1">
      <c r="A293" s="106"/>
      <c r="B293" s="175" t="s">
        <v>45</v>
      </c>
      <c r="C293" s="139"/>
      <c r="D293" s="140"/>
      <c r="E293" s="139">
        <f>SUM(E294:E298)</f>
        <v>0</v>
      </c>
      <c r="F293" s="139"/>
      <c r="G293" s="140"/>
      <c r="H293" s="139">
        <f>SUM(H294:H298)</f>
        <v>0</v>
      </c>
      <c r="I293" s="141"/>
      <c r="J293" s="142"/>
      <c r="K293" s="143" t="s">
        <v>171</v>
      </c>
      <c r="N293" s="106"/>
      <c r="O293" s="106"/>
      <c r="P293" s="106"/>
      <c r="Q293" s="106"/>
      <c r="R293" s="106"/>
      <c r="S293" s="106"/>
    </row>
    <row r="294" spans="1:19" s="105" customFormat="1">
      <c r="A294" s="106"/>
      <c r="B294" s="194" t="s">
        <v>106</v>
      </c>
      <c r="C294" s="139"/>
      <c r="D294" s="140"/>
      <c r="E294" s="139"/>
      <c r="F294" s="139"/>
      <c r="G294" s="140"/>
      <c r="H294" s="139"/>
      <c r="I294" s="141"/>
      <c r="J294" s="142"/>
      <c r="K294" s="143"/>
      <c r="N294" s="106"/>
      <c r="O294" s="106"/>
      <c r="P294" s="106"/>
      <c r="Q294" s="106"/>
      <c r="R294" s="106"/>
      <c r="S294" s="106"/>
    </row>
    <row r="295" spans="1:19" s="105" customFormat="1">
      <c r="A295" s="106"/>
      <c r="B295" s="194" t="s">
        <v>107</v>
      </c>
      <c r="C295" s="139"/>
      <c r="D295" s="140"/>
      <c r="E295" s="139"/>
      <c r="F295" s="139"/>
      <c r="G295" s="140"/>
      <c r="H295" s="139"/>
      <c r="I295" s="141"/>
      <c r="J295" s="142"/>
      <c r="K295" s="143"/>
      <c r="N295" s="106"/>
      <c r="O295" s="106"/>
      <c r="P295" s="106"/>
      <c r="Q295" s="106"/>
      <c r="R295" s="106"/>
      <c r="S295" s="106"/>
    </row>
    <row r="296" spans="1:19" s="105" customFormat="1">
      <c r="A296" s="106"/>
      <c r="B296" s="194" t="s">
        <v>108</v>
      </c>
      <c r="C296" s="139"/>
      <c r="D296" s="140"/>
      <c r="E296" s="139"/>
      <c r="F296" s="139"/>
      <c r="G296" s="140"/>
      <c r="H296" s="139"/>
      <c r="I296" s="141"/>
      <c r="J296" s="142"/>
      <c r="K296" s="143"/>
      <c r="N296" s="106"/>
      <c r="O296" s="106"/>
      <c r="P296" s="106"/>
      <c r="Q296" s="106"/>
      <c r="R296" s="106"/>
      <c r="S296" s="106"/>
    </row>
    <row r="297" spans="1:19" s="105" customFormat="1">
      <c r="A297" s="106"/>
      <c r="B297" s="194" t="s">
        <v>109</v>
      </c>
      <c r="C297" s="139"/>
      <c r="D297" s="140"/>
      <c r="E297" s="139"/>
      <c r="F297" s="139"/>
      <c r="G297" s="140"/>
      <c r="H297" s="139"/>
      <c r="I297" s="141"/>
      <c r="J297" s="142"/>
      <c r="K297" s="143"/>
      <c r="N297" s="106"/>
      <c r="O297" s="106"/>
      <c r="P297" s="106"/>
      <c r="Q297" s="106"/>
      <c r="R297" s="106"/>
      <c r="S297" s="106"/>
    </row>
    <row r="298" spans="1:19" s="105" customFormat="1">
      <c r="A298" s="106"/>
      <c r="B298" s="194" t="s">
        <v>111</v>
      </c>
      <c r="C298" s="139"/>
      <c r="D298" s="140"/>
      <c r="E298" s="139"/>
      <c r="F298" s="139"/>
      <c r="G298" s="140"/>
      <c r="H298" s="139"/>
      <c r="I298" s="141"/>
      <c r="J298" s="142"/>
      <c r="K298" s="143"/>
      <c r="N298" s="106"/>
      <c r="O298" s="106"/>
      <c r="P298" s="106"/>
      <c r="Q298" s="106"/>
      <c r="R298" s="106"/>
      <c r="S298" s="106"/>
    </row>
    <row r="299" spans="1:19" s="105" customFormat="1">
      <c r="A299" s="106"/>
      <c r="B299" s="175" t="s">
        <v>46</v>
      </c>
      <c r="C299" s="139"/>
      <c r="D299" s="140"/>
      <c r="E299" s="139">
        <f>+E300+E311</f>
        <v>0</v>
      </c>
      <c r="F299" s="139"/>
      <c r="G299" s="140"/>
      <c r="H299" s="139">
        <f>+H300+H311</f>
        <v>2.5257000000000001</v>
      </c>
      <c r="I299" s="141">
        <f t="shared" si="16"/>
        <v>2.5257000000000001</v>
      </c>
      <c r="J299" s="142">
        <f t="shared" si="17"/>
        <v>100</v>
      </c>
      <c r="K299" s="143"/>
      <c r="N299" s="106"/>
      <c r="O299" s="106"/>
      <c r="P299" s="106"/>
      <c r="Q299" s="106"/>
      <c r="R299" s="106"/>
      <c r="S299" s="106"/>
    </row>
    <row r="300" spans="1:19" s="105" customFormat="1">
      <c r="A300" s="106"/>
      <c r="B300" s="175" t="s">
        <v>47</v>
      </c>
      <c r="C300" s="139"/>
      <c r="D300" s="140"/>
      <c r="E300" s="139">
        <f>+E302</f>
        <v>0</v>
      </c>
      <c r="F300" s="139"/>
      <c r="G300" s="140"/>
      <c r="H300" s="139">
        <f>+H302</f>
        <v>2.5257000000000001</v>
      </c>
      <c r="I300" s="141">
        <f t="shared" si="16"/>
        <v>2.5257000000000001</v>
      </c>
      <c r="J300" s="142">
        <f t="shared" si="17"/>
        <v>100</v>
      </c>
      <c r="K300" s="143"/>
      <c r="N300" s="106"/>
      <c r="O300" s="106"/>
      <c r="P300" s="106"/>
      <c r="Q300" s="106"/>
      <c r="R300" s="106"/>
      <c r="S300" s="106"/>
    </row>
    <row r="301" spans="1:19" s="105" customFormat="1">
      <c r="A301" s="106"/>
      <c r="B301" s="175" t="s">
        <v>19</v>
      </c>
      <c r="C301" s="139"/>
      <c r="D301" s="140"/>
      <c r="E301" s="139"/>
      <c r="F301" s="139"/>
      <c r="G301" s="140"/>
      <c r="H301" s="139"/>
      <c r="I301" s="139"/>
      <c r="J301" s="139"/>
      <c r="K301" s="143"/>
      <c r="N301" s="106"/>
      <c r="O301" s="106"/>
      <c r="P301" s="106"/>
      <c r="Q301" s="106"/>
      <c r="R301" s="106"/>
      <c r="S301" s="106"/>
    </row>
    <row r="302" spans="1:19" s="105" customFormat="1">
      <c r="A302" s="106"/>
      <c r="B302" s="175" t="s">
        <v>110</v>
      </c>
      <c r="C302" s="139"/>
      <c r="D302" s="140"/>
      <c r="E302" s="139"/>
      <c r="F302" s="139"/>
      <c r="G302" s="140"/>
      <c r="H302" s="139">
        <f>SUM(H303:H304)</f>
        <v>2.5257000000000001</v>
      </c>
      <c r="I302" s="141">
        <f t="shared" si="16"/>
        <v>2.5257000000000001</v>
      </c>
      <c r="J302" s="142">
        <f t="shared" si="17"/>
        <v>100</v>
      </c>
      <c r="K302" s="143"/>
      <c r="N302" s="106"/>
      <c r="O302" s="106"/>
      <c r="P302" s="106"/>
      <c r="Q302" s="106"/>
      <c r="R302" s="106"/>
      <c r="S302" s="106"/>
    </row>
    <row r="303" spans="1:19" s="105" customFormat="1" ht="112.5">
      <c r="A303" s="106"/>
      <c r="B303" s="194" t="s">
        <v>452</v>
      </c>
      <c r="C303" s="139"/>
      <c r="D303" s="140"/>
      <c r="E303" s="139"/>
      <c r="F303" s="139"/>
      <c r="G303" s="140"/>
      <c r="H303" s="139">
        <v>2.5</v>
      </c>
      <c r="I303" s="141">
        <f t="shared" si="16"/>
        <v>2.5</v>
      </c>
      <c r="J303" s="142">
        <f t="shared" si="17"/>
        <v>100</v>
      </c>
      <c r="K303" s="175" t="s">
        <v>453</v>
      </c>
      <c r="N303" s="106"/>
      <c r="O303" s="106"/>
      <c r="P303" s="106"/>
      <c r="Q303" s="106"/>
      <c r="R303" s="106"/>
      <c r="S303" s="106"/>
    </row>
    <row r="304" spans="1:19" s="105" customFormat="1" ht="37.5">
      <c r="A304" s="106"/>
      <c r="B304" s="194" t="s">
        <v>477</v>
      </c>
      <c r="C304" s="139"/>
      <c r="D304" s="140"/>
      <c r="E304" s="139"/>
      <c r="F304" s="139"/>
      <c r="G304" s="140"/>
      <c r="H304" s="139">
        <v>2.5700000000000001E-2</v>
      </c>
      <c r="I304" s="141">
        <f t="shared" si="16"/>
        <v>2.5700000000000001E-2</v>
      </c>
      <c r="J304" s="142">
        <f t="shared" si="17"/>
        <v>100.00000000000001</v>
      </c>
      <c r="K304" s="175" t="s">
        <v>478</v>
      </c>
      <c r="N304" s="106"/>
      <c r="O304" s="106"/>
      <c r="P304" s="106"/>
      <c r="Q304" s="106"/>
      <c r="R304" s="106"/>
      <c r="S304" s="106"/>
    </row>
    <row r="305" spans="1:19" s="105" customFormat="1">
      <c r="A305" s="106"/>
      <c r="B305" s="175" t="s">
        <v>22</v>
      </c>
      <c r="C305" s="139"/>
      <c r="D305" s="140"/>
      <c r="E305" s="139"/>
      <c r="F305" s="139"/>
      <c r="G305" s="140"/>
      <c r="H305" s="139"/>
      <c r="I305" s="141"/>
      <c r="J305" s="142"/>
      <c r="K305" s="143"/>
      <c r="N305" s="106"/>
      <c r="O305" s="106"/>
      <c r="P305" s="106"/>
      <c r="Q305" s="106"/>
      <c r="R305" s="106"/>
      <c r="S305" s="106"/>
    </row>
    <row r="306" spans="1:19" s="105" customFormat="1">
      <c r="A306" s="106"/>
      <c r="B306" s="175" t="s">
        <v>48</v>
      </c>
      <c r="C306" s="139"/>
      <c r="D306" s="140"/>
      <c r="E306" s="139"/>
      <c r="F306" s="139"/>
      <c r="G306" s="140"/>
      <c r="H306" s="139"/>
      <c r="I306" s="141"/>
      <c r="J306" s="142"/>
      <c r="K306" s="143"/>
      <c r="N306" s="106"/>
      <c r="O306" s="106"/>
      <c r="P306" s="106"/>
      <c r="Q306" s="106"/>
      <c r="R306" s="106"/>
      <c r="S306" s="106"/>
    </row>
    <row r="307" spans="1:19" s="105" customFormat="1">
      <c r="A307" s="106"/>
      <c r="B307" s="194" t="s">
        <v>23</v>
      </c>
      <c r="C307" s="139"/>
      <c r="D307" s="140"/>
      <c r="E307" s="139"/>
      <c r="F307" s="139"/>
      <c r="G307" s="140"/>
      <c r="H307" s="139"/>
      <c r="I307" s="141"/>
      <c r="J307" s="142"/>
      <c r="K307" s="143"/>
      <c r="N307" s="106"/>
      <c r="O307" s="106"/>
      <c r="P307" s="106"/>
      <c r="Q307" s="106"/>
      <c r="R307" s="106"/>
      <c r="S307" s="106"/>
    </row>
    <row r="308" spans="1:19" s="105" customFormat="1">
      <c r="A308" s="106"/>
      <c r="B308" s="175" t="s">
        <v>20</v>
      </c>
      <c r="C308" s="139"/>
      <c r="D308" s="140"/>
      <c r="E308" s="139"/>
      <c r="F308" s="139"/>
      <c r="G308" s="140"/>
      <c r="H308" s="139"/>
      <c r="I308" s="141"/>
      <c r="J308" s="142"/>
      <c r="K308" s="143"/>
      <c r="N308" s="106"/>
      <c r="O308" s="106"/>
      <c r="P308" s="106"/>
      <c r="Q308" s="106"/>
      <c r="R308" s="106"/>
      <c r="S308" s="106"/>
    </row>
    <row r="309" spans="1:19" s="105" customFormat="1">
      <c r="A309" s="106"/>
      <c r="B309" s="175" t="s">
        <v>48</v>
      </c>
      <c r="C309" s="139"/>
      <c r="D309" s="140"/>
      <c r="E309" s="139"/>
      <c r="F309" s="139"/>
      <c r="G309" s="140"/>
      <c r="H309" s="139"/>
      <c r="I309" s="141"/>
      <c r="J309" s="142"/>
      <c r="K309" s="143"/>
      <c r="N309" s="106"/>
      <c r="O309" s="106"/>
      <c r="P309" s="106"/>
      <c r="Q309" s="106"/>
      <c r="R309" s="106"/>
      <c r="S309" s="106"/>
    </row>
    <row r="310" spans="1:19" s="105" customFormat="1">
      <c r="A310" s="106"/>
      <c r="B310" s="194" t="s">
        <v>23</v>
      </c>
      <c r="C310" s="139"/>
      <c r="D310" s="140"/>
      <c r="E310" s="139"/>
      <c r="F310" s="139"/>
      <c r="G310" s="140"/>
      <c r="H310" s="139"/>
      <c r="I310" s="141"/>
      <c r="J310" s="142"/>
      <c r="K310" s="143"/>
      <c r="N310" s="106"/>
      <c r="O310" s="106"/>
      <c r="P310" s="106"/>
      <c r="Q310" s="106"/>
      <c r="R310" s="106"/>
      <c r="S310" s="106"/>
    </row>
    <row r="311" spans="1:19" s="105" customFormat="1">
      <c r="A311" s="106"/>
      <c r="B311" s="175" t="s">
        <v>49</v>
      </c>
      <c r="C311" s="139"/>
      <c r="D311" s="140"/>
      <c r="E311" s="139">
        <f>+E313</f>
        <v>0</v>
      </c>
      <c r="F311" s="139"/>
      <c r="G311" s="140"/>
      <c r="H311" s="139">
        <f>+H313</f>
        <v>0</v>
      </c>
      <c r="I311" s="143"/>
      <c r="J311" s="143"/>
      <c r="K311" s="143"/>
      <c r="N311" s="106"/>
      <c r="O311" s="106"/>
      <c r="P311" s="106"/>
      <c r="Q311" s="106"/>
      <c r="R311" s="106"/>
      <c r="S311" s="106"/>
    </row>
    <row r="312" spans="1:19" s="105" customFormat="1">
      <c r="A312" s="106"/>
      <c r="B312" s="175" t="s">
        <v>19</v>
      </c>
      <c r="C312" s="139"/>
      <c r="D312" s="140"/>
      <c r="E312" s="139"/>
      <c r="F312" s="139"/>
      <c r="G312" s="140"/>
      <c r="H312" s="139"/>
      <c r="I312" s="143"/>
      <c r="J312" s="143"/>
      <c r="K312" s="143"/>
      <c r="N312" s="106"/>
      <c r="O312" s="106"/>
      <c r="P312" s="106"/>
      <c r="Q312" s="106"/>
      <c r="R312" s="106"/>
      <c r="S312" s="106"/>
    </row>
    <row r="313" spans="1:19" s="105" customFormat="1">
      <c r="A313" s="106"/>
      <c r="B313" s="175" t="s">
        <v>50</v>
      </c>
      <c r="C313" s="139"/>
      <c r="D313" s="140"/>
      <c r="E313" s="139"/>
      <c r="F313" s="139"/>
      <c r="G313" s="140"/>
      <c r="H313" s="139"/>
      <c r="I313" s="143"/>
      <c r="J313" s="143"/>
      <c r="K313" s="143"/>
      <c r="N313" s="106"/>
      <c r="O313" s="106"/>
      <c r="P313" s="106"/>
      <c r="Q313" s="106"/>
      <c r="R313" s="106"/>
      <c r="S313" s="106"/>
    </row>
    <row r="314" spans="1:19" s="105" customFormat="1" ht="27.75" customHeight="1">
      <c r="A314" s="106"/>
      <c r="B314" s="194" t="s">
        <v>17</v>
      </c>
      <c r="C314" s="139"/>
      <c r="D314" s="140"/>
      <c r="E314" s="139"/>
      <c r="F314" s="139"/>
      <c r="G314" s="140"/>
      <c r="H314" s="139"/>
      <c r="I314" s="141"/>
      <c r="J314" s="142"/>
      <c r="K314" s="143"/>
      <c r="N314" s="106"/>
      <c r="O314" s="106"/>
      <c r="P314" s="106"/>
      <c r="Q314" s="106"/>
      <c r="R314" s="106"/>
      <c r="S314" s="106"/>
    </row>
    <row r="315" spans="1:19" s="105" customFormat="1" ht="27.75" customHeight="1">
      <c r="A315" s="106"/>
      <c r="B315" s="194" t="s">
        <v>18</v>
      </c>
      <c r="C315" s="139"/>
      <c r="D315" s="140"/>
      <c r="E315" s="139"/>
      <c r="F315" s="139"/>
      <c r="G315" s="140"/>
      <c r="H315" s="139"/>
      <c r="I315" s="141"/>
      <c r="J315" s="142"/>
      <c r="K315" s="143"/>
      <c r="N315" s="106"/>
      <c r="O315" s="106"/>
      <c r="P315" s="106"/>
      <c r="Q315" s="106"/>
      <c r="R315" s="106"/>
      <c r="S315" s="106"/>
    </row>
    <row r="316" spans="1:19" s="105" customFormat="1">
      <c r="A316" s="106"/>
      <c r="B316" s="175" t="s">
        <v>22</v>
      </c>
      <c r="C316" s="139"/>
      <c r="D316" s="140"/>
      <c r="E316" s="139"/>
      <c r="F316" s="139"/>
      <c r="G316" s="140"/>
      <c r="H316" s="139"/>
      <c r="I316" s="141"/>
      <c r="J316" s="142"/>
      <c r="K316" s="143"/>
      <c r="N316" s="106"/>
      <c r="O316" s="106"/>
      <c r="P316" s="106"/>
      <c r="Q316" s="106"/>
      <c r="R316" s="106"/>
      <c r="S316" s="106"/>
    </row>
    <row r="317" spans="1:19" s="105" customFormat="1">
      <c r="A317" s="106"/>
      <c r="B317" s="175" t="s">
        <v>51</v>
      </c>
      <c r="C317" s="139"/>
      <c r="D317" s="140"/>
      <c r="E317" s="139"/>
      <c r="F317" s="139"/>
      <c r="G317" s="140"/>
      <c r="H317" s="139"/>
      <c r="I317" s="141"/>
      <c r="J317" s="142"/>
      <c r="K317" s="143"/>
      <c r="N317" s="106"/>
      <c r="O317" s="106"/>
      <c r="P317" s="106"/>
      <c r="Q317" s="106"/>
      <c r="R317" s="106"/>
      <c r="S317" s="106"/>
    </row>
    <row r="318" spans="1:19" s="105" customFormat="1">
      <c r="A318" s="106"/>
      <c r="B318" s="194" t="s">
        <v>23</v>
      </c>
      <c r="C318" s="139"/>
      <c r="D318" s="140"/>
      <c r="E318" s="139"/>
      <c r="F318" s="139"/>
      <c r="G318" s="140"/>
      <c r="H318" s="139"/>
      <c r="I318" s="141"/>
      <c r="J318" s="142"/>
      <c r="K318" s="143"/>
      <c r="N318" s="106"/>
      <c r="O318" s="106"/>
      <c r="P318" s="106"/>
      <c r="Q318" s="106"/>
      <c r="R318" s="106"/>
      <c r="S318" s="106"/>
    </row>
    <row r="319" spans="1:19" s="105" customFormat="1">
      <c r="A319" s="106"/>
      <c r="B319" s="175" t="s">
        <v>20</v>
      </c>
      <c r="C319" s="139"/>
      <c r="D319" s="140"/>
      <c r="E319" s="139"/>
      <c r="F319" s="139"/>
      <c r="G319" s="140"/>
      <c r="H319" s="139"/>
      <c r="I319" s="141"/>
      <c r="J319" s="142"/>
      <c r="K319" s="143"/>
      <c r="N319" s="106"/>
      <c r="O319" s="106"/>
      <c r="P319" s="106"/>
      <c r="Q319" s="106"/>
      <c r="R319" s="106"/>
      <c r="S319" s="106"/>
    </row>
    <row r="320" spans="1:19" s="105" customFormat="1">
      <c r="A320" s="106"/>
      <c r="B320" s="175" t="s">
        <v>51</v>
      </c>
      <c r="C320" s="139"/>
      <c r="D320" s="140"/>
      <c r="E320" s="139"/>
      <c r="F320" s="139"/>
      <c r="G320" s="140"/>
      <c r="H320" s="139"/>
      <c r="I320" s="141"/>
      <c r="J320" s="142"/>
      <c r="K320" s="143"/>
      <c r="N320" s="106"/>
      <c r="O320" s="106"/>
      <c r="P320" s="106"/>
      <c r="Q320" s="106"/>
      <c r="R320" s="106"/>
      <c r="S320" s="106"/>
    </row>
    <row r="321" spans="1:19" s="105" customFormat="1">
      <c r="A321" s="106"/>
      <c r="B321" s="194" t="s">
        <v>23</v>
      </c>
      <c r="C321" s="139"/>
      <c r="D321" s="140"/>
      <c r="E321" s="139"/>
      <c r="F321" s="139"/>
      <c r="G321" s="140"/>
      <c r="H321" s="139"/>
      <c r="I321" s="141"/>
      <c r="J321" s="142"/>
      <c r="K321" s="143"/>
      <c r="N321" s="106"/>
      <c r="O321" s="106"/>
      <c r="P321" s="106"/>
      <c r="Q321" s="106"/>
      <c r="R321" s="106"/>
      <c r="S321" s="106"/>
    </row>
    <row r="322" spans="1:19" s="105" customFormat="1">
      <c r="A322" s="106"/>
      <c r="B322" s="175" t="s">
        <v>53</v>
      </c>
      <c r="C322" s="139"/>
      <c r="D322" s="140"/>
      <c r="E322" s="139"/>
      <c r="F322" s="139"/>
      <c r="G322" s="140"/>
      <c r="H322" s="139"/>
      <c r="I322" s="139"/>
      <c r="J322" s="139"/>
      <c r="K322" s="139"/>
      <c r="N322" s="106"/>
      <c r="O322" s="106"/>
      <c r="P322" s="106"/>
      <c r="Q322" s="106"/>
      <c r="R322" s="106"/>
      <c r="S322" s="106"/>
    </row>
    <row r="323" spans="1:19" s="105" customFormat="1">
      <c r="A323" s="106"/>
      <c r="B323" s="175" t="s">
        <v>52</v>
      </c>
      <c r="C323" s="139"/>
      <c r="D323" s="140"/>
      <c r="E323" s="139"/>
      <c r="F323" s="139"/>
      <c r="G323" s="140"/>
      <c r="H323" s="139"/>
      <c r="I323" s="141"/>
      <c r="J323" s="142"/>
      <c r="K323" s="143"/>
      <c r="N323" s="106"/>
      <c r="O323" s="106"/>
      <c r="P323" s="106"/>
      <c r="Q323" s="106"/>
      <c r="R323" s="106"/>
      <c r="S323" s="106"/>
    </row>
    <row r="324" spans="1:19" s="105" customFormat="1" ht="37.5">
      <c r="A324" s="106"/>
      <c r="B324" s="175" t="s">
        <v>54</v>
      </c>
      <c r="C324" s="139"/>
      <c r="D324" s="140"/>
      <c r="E324" s="139"/>
      <c r="F324" s="139"/>
      <c r="G324" s="140"/>
      <c r="H324" s="139"/>
      <c r="I324" s="141"/>
      <c r="J324" s="142"/>
      <c r="K324" s="143"/>
      <c r="N324" s="106"/>
      <c r="O324" s="106"/>
      <c r="P324" s="106"/>
      <c r="Q324" s="106"/>
      <c r="R324" s="106"/>
      <c r="S324" s="106"/>
    </row>
    <row r="325" spans="1:19" s="105" customFormat="1">
      <c r="A325" s="106"/>
      <c r="B325" s="175" t="s">
        <v>55</v>
      </c>
      <c r="C325" s="139"/>
      <c r="D325" s="140"/>
      <c r="E325" s="139"/>
      <c r="F325" s="139"/>
      <c r="G325" s="140"/>
      <c r="H325" s="139"/>
      <c r="I325" s="141"/>
      <c r="J325" s="142"/>
      <c r="K325" s="143"/>
      <c r="N325" s="106"/>
      <c r="O325" s="106"/>
      <c r="P325" s="106"/>
      <c r="Q325" s="106"/>
      <c r="R325" s="106"/>
      <c r="S325" s="106"/>
    </row>
    <row r="326" spans="1:19" s="105" customFormat="1" ht="37.5">
      <c r="A326" s="106"/>
      <c r="B326" s="175" t="s">
        <v>54</v>
      </c>
      <c r="C326" s="139"/>
      <c r="D326" s="140"/>
      <c r="E326" s="139"/>
      <c r="F326" s="139"/>
      <c r="G326" s="140"/>
      <c r="H326" s="139"/>
      <c r="I326" s="141"/>
      <c r="J326" s="142"/>
      <c r="K326" s="143"/>
      <c r="N326" s="106"/>
      <c r="O326" s="106"/>
      <c r="P326" s="106"/>
      <c r="Q326" s="106"/>
      <c r="R326" s="106"/>
      <c r="S326" s="106"/>
    </row>
    <row r="327" spans="1:19" s="105" customFormat="1">
      <c r="A327" s="106"/>
      <c r="B327" s="175" t="s">
        <v>56</v>
      </c>
      <c r="C327" s="139"/>
      <c r="D327" s="140"/>
      <c r="E327" s="139">
        <f>SUM(E328:E332)</f>
        <v>6</v>
      </c>
      <c r="F327" s="139"/>
      <c r="G327" s="140"/>
      <c r="H327" s="139">
        <f>SUM(H328:H332)</f>
        <v>8.714500000000001</v>
      </c>
      <c r="I327" s="141">
        <f t="shared" si="16"/>
        <v>2.714500000000001</v>
      </c>
      <c r="J327" s="142">
        <f t="shared" si="17"/>
        <v>31.149234035228648</v>
      </c>
      <c r="K327" s="143"/>
      <c r="N327" s="106"/>
      <c r="O327" s="106"/>
      <c r="P327" s="106"/>
      <c r="Q327" s="106"/>
      <c r="R327" s="106"/>
      <c r="S327" s="106"/>
    </row>
    <row r="328" spans="1:19" s="105" customFormat="1" ht="56.25">
      <c r="A328" s="106"/>
      <c r="B328" s="175" t="s">
        <v>116</v>
      </c>
      <c r="C328" s="139"/>
      <c r="D328" s="140"/>
      <c r="E328" s="139">
        <v>2</v>
      </c>
      <c r="F328" s="139"/>
      <c r="G328" s="140"/>
      <c r="H328" s="139">
        <v>1.4584999999999999</v>
      </c>
      <c r="I328" s="141">
        <f t="shared" si="16"/>
        <v>-0.54150000000000009</v>
      </c>
      <c r="J328" s="142">
        <f t="shared" si="17"/>
        <v>-37.127185464518348</v>
      </c>
      <c r="K328" s="175" t="s">
        <v>475</v>
      </c>
      <c r="N328" s="106"/>
      <c r="O328" s="106"/>
      <c r="P328" s="106"/>
      <c r="Q328" s="106"/>
      <c r="R328" s="106"/>
      <c r="S328" s="106"/>
    </row>
    <row r="329" spans="1:19" s="105" customFormat="1" ht="47.25" customHeight="1">
      <c r="A329" s="106"/>
      <c r="B329" s="175"/>
      <c r="C329" s="139"/>
      <c r="D329" s="140"/>
      <c r="E329" s="139"/>
      <c r="F329" s="139"/>
      <c r="G329" s="140"/>
      <c r="H329" s="139"/>
      <c r="I329" s="141"/>
      <c r="J329" s="142"/>
      <c r="K329" s="175" t="s">
        <v>476</v>
      </c>
      <c r="N329" s="106"/>
      <c r="O329" s="106"/>
      <c r="P329" s="106"/>
      <c r="Q329" s="106"/>
      <c r="R329" s="106"/>
      <c r="S329" s="106"/>
    </row>
    <row r="330" spans="1:19" s="105" customFormat="1" ht="37.5">
      <c r="A330" s="106"/>
      <c r="B330" s="175" t="s">
        <v>117</v>
      </c>
      <c r="C330" s="139"/>
      <c r="D330" s="140"/>
      <c r="E330" s="139">
        <v>1</v>
      </c>
      <c r="F330" s="139"/>
      <c r="G330" s="140"/>
      <c r="H330" s="139">
        <v>1.256</v>
      </c>
      <c r="I330" s="141">
        <f t="shared" si="16"/>
        <v>0.25600000000000001</v>
      </c>
      <c r="J330" s="142">
        <f t="shared" si="17"/>
        <v>20.382165605095544</v>
      </c>
      <c r="K330" s="175" t="s">
        <v>491</v>
      </c>
      <c r="N330" s="106"/>
      <c r="O330" s="106"/>
      <c r="P330" s="106"/>
      <c r="Q330" s="106"/>
      <c r="R330" s="106"/>
      <c r="S330" s="106"/>
    </row>
    <row r="331" spans="1:19" s="105" customFormat="1" ht="56.25">
      <c r="A331" s="106"/>
      <c r="B331" s="175" t="s">
        <v>118</v>
      </c>
      <c r="C331" s="139"/>
      <c r="D331" s="140"/>
      <c r="E331" s="139">
        <v>2</v>
      </c>
      <c r="F331" s="139"/>
      <c r="G331" s="140"/>
      <c r="H331" s="139">
        <v>3</v>
      </c>
      <c r="I331" s="141">
        <f t="shared" si="16"/>
        <v>1</v>
      </c>
      <c r="J331" s="142">
        <f t="shared" si="17"/>
        <v>33.333333333333336</v>
      </c>
      <c r="K331" s="175" t="s">
        <v>492</v>
      </c>
      <c r="N331" s="106"/>
      <c r="O331" s="106"/>
      <c r="P331" s="106"/>
      <c r="Q331" s="106"/>
      <c r="R331" s="106"/>
      <c r="S331" s="106"/>
    </row>
    <row r="332" spans="1:19" s="105" customFormat="1" ht="37.5">
      <c r="A332" s="106"/>
      <c r="B332" s="175" t="s">
        <v>119</v>
      </c>
      <c r="C332" s="139"/>
      <c r="D332" s="140"/>
      <c r="E332" s="139">
        <v>1</v>
      </c>
      <c r="F332" s="139"/>
      <c r="G332" s="140"/>
      <c r="H332" s="139">
        <v>3</v>
      </c>
      <c r="I332" s="141">
        <f t="shared" ref="I332:I385" si="18">+H332-E332</f>
        <v>2</v>
      </c>
      <c r="J332" s="142">
        <f t="shared" ref="J332:J385" si="19">+I332*100/H332</f>
        <v>66.666666666666671</v>
      </c>
      <c r="K332" s="143"/>
      <c r="N332" s="106"/>
      <c r="O332" s="106"/>
      <c r="P332" s="106"/>
      <c r="Q332" s="106"/>
      <c r="R332" s="106"/>
      <c r="S332" s="106"/>
    </row>
    <row r="333" spans="1:19" s="105" customFormat="1">
      <c r="A333" s="106"/>
      <c r="B333" s="175"/>
      <c r="C333" s="139"/>
      <c r="D333" s="140"/>
      <c r="E333" s="139"/>
      <c r="F333" s="139"/>
      <c r="G333" s="140"/>
      <c r="H333" s="139"/>
      <c r="I333" s="141"/>
      <c r="J333" s="142"/>
      <c r="K333" s="143"/>
      <c r="N333" s="106"/>
      <c r="O333" s="106"/>
      <c r="P333" s="106"/>
      <c r="Q333" s="106"/>
      <c r="R333" s="106"/>
      <c r="S333" s="106"/>
    </row>
    <row r="334" spans="1:19" s="105" customFormat="1" ht="27.75" customHeight="1">
      <c r="A334" s="106"/>
      <c r="B334" s="286" t="s">
        <v>127</v>
      </c>
      <c r="C334" s="139"/>
      <c r="D334" s="140"/>
      <c r="E334" s="139">
        <f>+E336+E413+E438+E443</f>
        <v>46.745000000000005</v>
      </c>
      <c r="F334" s="139"/>
      <c r="G334" s="140"/>
      <c r="H334" s="139">
        <f>+H336+H413+H438+H443</f>
        <v>79.853219999999993</v>
      </c>
      <c r="I334" s="141">
        <f t="shared" si="18"/>
        <v>33.108219999999989</v>
      </c>
      <c r="J334" s="142">
        <f t="shared" si="19"/>
        <v>41.461346204949521</v>
      </c>
      <c r="K334" s="143"/>
      <c r="N334" s="106"/>
      <c r="O334" s="106"/>
      <c r="P334" s="106"/>
      <c r="Q334" s="106"/>
      <c r="R334" s="106"/>
      <c r="S334" s="106"/>
    </row>
    <row r="335" spans="1:19" s="105" customFormat="1" ht="27.75" customHeight="1">
      <c r="A335" s="106"/>
      <c r="B335" s="245" t="s">
        <v>94</v>
      </c>
      <c r="C335" s="139"/>
      <c r="D335" s="140"/>
      <c r="E335" s="139"/>
      <c r="F335" s="139"/>
      <c r="G335" s="140"/>
      <c r="H335" s="139"/>
      <c r="I335" s="143"/>
      <c r="J335" s="143"/>
      <c r="K335" s="143"/>
      <c r="N335" s="106"/>
      <c r="O335" s="106"/>
      <c r="P335" s="106"/>
      <c r="Q335" s="106"/>
      <c r="R335" s="106"/>
      <c r="S335" s="106"/>
    </row>
    <row r="336" spans="1:19" s="105" customFormat="1">
      <c r="A336" s="106"/>
      <c r="B336" s="175" t="s">
        <v>38</v>
      </c>
      <c r="C336" s="139"/>
      <c r="D336" s="140"/>
      <c r="E336" s="139">
        <f>+E337+E407</f>
        <v>16.146000000000001</v>
      </c>
      <c r="F336" s="139"/>
      <c r="G336" s="140"/>
      <c r="H336" s="139">
        <f>+H337+H407</f>
        <v>40.684619999999995</v>
      </c>
      <c r="I336" s="141">
        <f t="shared" si="18"/>
        <v>24.538619999999995</v>
      </c>
      <c r="J336" s="142">
        <f t="shared" si="19"/>
        <v>60.314241597930618</v>
      </c>
      <c r="K336" s="321"/>
      <c r="N336" s="106"/>
      <c r="O336" s="106"/>
      <c r="P336" s="106"/>
      <c r="Q336" s="106"/>
      <c r="R336" s="106"/>
      <c r="S336" s="106"/>
    </row>
    <row r="337" spans="1:19" s="105" customFormat="1">
      <c r="A337" s="106"/>
      <c r="B337" s="175" t="s">
        <v>41</v>
      </c>
      <c r="C337" s="139"/>
      <c r="D337" s="140"/>
      <c r="E337" s="139">
        <f>+E338+E360+E401</f>
        <v>16.146000000000001</v>
      </c>
      <c r="F337" s="139"/>
      <c r="G337" s="140"/>
      <c r="H337" s="139">
        <f>+H338+H360+H401</f>
        <v>40.684619999999995</v>
      </c>
      <c r="I337" s="141">
        <f t="shared" si="18"/>
        <v>24.538619999999995</v>
      </c>
      <c r="J337" s="142">
        <f t="shared" si="19"/>
        <v>60.314241597930618</v>
      </c>
      <c r="K337" s="143"/>
      <c r="N337" s="106"/>
      <c r="O337" s="106"/>
      <c r="P337" s="106"/>
      <c r="Q337" s="106"/>
      <c r="R337" s="106"/>
      <c r="S337" s="106"/>
    </row>
    <row r="338" spans="1:19" s="105" customFormat="1">
      <c r="A338" s="106"/>
      <c r="B338" s="175" t="s">
        <v>42</v>
      </c>
      <c r="C338" s="139"/>
      <c r="D338" s="140"/>
      <c r="E338" s="139">
        <f>SUM(E339:E351)</f>
        <v>0.6956</v>
      </c>
      <c r="F338" s="139"/>
      <c r="G338" s="140"/>
      <c r="H338" s="139">
        <f>SUM(H339:H351)</f>
        <v>1.21272</v>
      </c>
      <c r="I338" s="141">
        <f t="shared" si="18"/>
        <v>0.51712000000000002</v>
      </c>
      <c r="J338" s="142">
        <f t="shared" si="19"/>
        <v>42.641335180420874</v>
      </c>
      <c r="K338" s="143"/>
      <c r="N338" s="106"/>
      <c r="O338" s="106"/>
      <c r="P338" s="106"/>
      <c r="Q338" s="106"/>
      <c r="R338" s="106"/>
      <c r="S338" s="106"/>
    </row>
    <row r="339" spans="1:19" s="105" customFormat="1">
      <c r="A339" s="106"/>
      <c r="B339" s="194" t="s">
        <v>112</v>
      </c>
      <c r="C339" s="139"/>
      <c r="D339" s="140"/>
      <c r="E339" s="139"/>
      <c r="F339" s="139"/>
      <c r="G339" s="140"/>
      <c r="H339" s="139">
        <v>0.41199999999999998</v>
      </c>
      <c r="I339" s="141">
        <f t="shared" si="18"/>
        <v>0.41199999999999998</v>
      </c>
      <c r="J339" s="142">
        <f t="shared" si="19"/>
        <v>100</v>
      </c>
      <c r="K339" s="143" t="s">
        <v>540</v>
      </c>
      <c r="L339" s="322">
        <v>412000</v>
      </c>
      <c r="N339" s="106"/>
      <c r="O339" s="106"/>
      <c r="P339" s="106"/>
      <c r="Q339" s="106"/>
      <c r="R339" s="106"/>
      <c r="S339" s="106"/>
    </row>
    <row r="340" spans="1:19" s="105" customFormat="1">
      <c r="A340" s="106"/>
      <c r="B340" s="194"/>
      <c r="C340" s="139"/>
      <c r="D340" s="140"/>
      <c r="E340" s="139"/>
      <c r="F340" s="139"/>
      <c r="G340" s="140"/>
      <c r="H340" s="139"/>
      <c r="I340" s="141"/>
      <c r="J340" s="142"/>
      <c r="K340" s="143" t="s">
        <v>541</v>
      </c>
      <c r="N340" s="106"/>
      <c r="O340" s="106"/>
      <c r="P340" s="106"/>
      <c r="Q340" s="106"/>
      <c r="R340" s="106"/>
      <c r="S340" s="106"/>
    </row>
    <row r="341" spans="1:19" s="105" customFormat="1">
      <c r="A341" s="106"/>
      <c r="B341" s="194"/>
      <c r="C341" s="139"/>
      <c r="D341" s="140"/>
      <c r="E341" s="139"/>
      <c r="F341" s="139"/>
      <c r="G341" s="140"/>
      <c r="H341" s="139"/>
      <c r="I341" s="141"/>
      <c r="J341" s="142"/>
      <c r="K341" s="143" t="s">
        <v>542</v>
      </c>
      <c r="N341" s="106"/>
      <c r="O341" s="106"/>
      <c r="P341" s="106"/>
      <c r="Q341" s="106"/>
      <c r="R341" s="106"/>
      <c r="S341" s="106"/>
    </row>
    <row r="342" spans="1:19" s="105" customFormat="1">
      <c r="A342" s="106"/>
      <c r="B342" s="194"/>
      <c r="C342" s="139"/>
      <c r="D342" s="140"/>
      <c r="E342" s="139"/>
      <c r="F342" s="139"/>
      <c r="G342" s="140"/>
      <c r="H342" s="139"/>
      <c r="I342" s="141"/>
      <c r="J342" s="142"/>
      <c r="K342" s="143" t="s">
        <v>543</v>
      </c>
      <c r="N342" s="106"/>
      <c r="O342" s="106"/>
      <c r="P342" s="106"/>
      <c r="Q342" s="106"/>
      <c r="R342" s="106"/>
      <c r="S342" s="106"/>
    </row>
    <row r="343" spans="1:19" s="105" customFormat="1" ht="37.5">
      <c r="A343" s="106"/>
      <c r="B343" s="194" t="s">
        <v>113</v>
      </c>
      <c r="C343" s="139"/>
      <c r="D343" s="140"/>
      <c r="E343" s="139">
        <v>0.3448</v>
      </c>
      <c r="F343" s="139"/>
      <c r="G343" s="140"/>
      <c r="H343" s="139">
        <v>0.42159999999999997</v>
      </c>
      <c r="I343" s="141">
        <f t="shared" si="18"/>
        <v>7.6799999999999979E-2</v>
      </c>
      <c r="J343" s="142">
        <f t="shared" si="19"/>
        <v>18.216318785578743</v>
      </c>
      <c r="K343" s="175" t="s">
        <v>539</v>
      </c>
      <c r="L343" s="322">
        <v>421600</v>
      </c>
      <c r="N343" s="106"/>
      <c r="O343" s="106"/>
      <c r="P343" s="106"/>
      <c r="Q343" s="106"/>
      <c r="R343" s="106"/>
      <c r="S343" s="106"/>
    </row>
    <row r="344" spans="1:19" s="105" customFormat="1">
      <c r="A344" s="106"/>
      <c r="B344" s="194"/>
      <c r="C344" s="139"/>
      <c r="D344" s="140"/>
      <c r="E344" s="139"/>
      <c r="F344" s="139"/>
      <c r="G344" s="140"/>
      <c r="H344" s="139"/>
      <c r="I344" s="141"/>
      <c r="J344" s="142"/>
      <c r="K344" s="143" t="s">
        <v>532</v>
      </c>
      <c r="N344" s="106"/>
      <c r="O344" s="106"/>
      <c r="P344" s="106"/>
      <c r="Q344" s="106"/>
      <c r="R344" s="106"/>
      <c r="S344" s="106"/>
    </row>
    <row r="345" spans="1:19" s="105" customFormat="1">
      <c r="A345" s="106"/>
      <c r="B345" s="194"/>
      <c r="C345" s="139"/>
      <c r="D345" s="140"/>
      <c r="E345" s="139"/>
      <c r="F345" s="139"/>
      <c r="G345" s="140"/>
      <c r="H345" s="139"/>
      <c r="I345" s="141"/>
      <c r="J345" s="142"/>
      <c r="K345" s="143" t="s">
        <v>533</v>
      </c>
      <c r="N345" s="106"/>
      <c r="O345" s="106"/>
      <c r="P345" s="106"/>
      <c r="Q345" s="106"/>
      <c r="R345" s="106"/>
      <c r="S345" s="106"/>
    </row>
    <row r="346" spans="1:19" s="105" customFormat="1">
      <c r="A346" s="106"/>
      <c r="B346" s="194"/>
      <c r="C346" s="139"/>
      <c r="D346" s="140"/>
      <c r="E346" s="139"/>
      <c r="F346" s="139"/>
      <c r="G346" s="140"/>
      <c r="H346" s="139"/>
      <c r="I346" s="141"/>
      <c r="J346" s="142"/>
      <c r="K346" s="143" t="s">
        <v>534</v>
      </c>
      <c r="N346" s="106"/>
      <c r="O346" s="106"/>
      <c r="P346" s="106"/>
      <c r="Q346" s="106"/>
      <c r="R346" s="106"/>
      <c r="S346" s="106"/>
    </row>
    <row r="347" spans="1:19" s="105" customFormat="1">
      <c r="A347" s="106"/>
      <c r="B347" s="194"/>
      <c r="C347" s="139"/>
      <c r="D347" s="140"/>
      <c r="E347" s="139"/>
      <c r="F347" s="139"/>
      <c r="G347" s="140"/>
      <c r="H347" s="139"/>
      <c r="I347" s="141"/>
      <c r="J347" s="142"/>
      <c r="K347" s="143" t="s">
        <v>535</v>
      </c>
      <c r="N347" s="106"/>
      <c r="O347" s="106"/>
      <c r="P347" s="106"/>
      <c r="Q347" s="106"/>
      <c r="R347" s="106"/>
      <c r="S347" s="106"/>
    </row>
    <row r="348" spans="1:19" s="105" customFormat="1" ht="37.5">
      <c r="A348" s="106"/>
      <c r="B348" s="194"/>
      <c r="C348" s="139"/>
      <c r="D348" s="140"/>
      <c r="E348" s="139"/>
      <c r="F348" s="139"/>
      <c r="G348" s="140"/>
      <c r="H348" s="139"/>
      <c r="I348" s="141"/>
      <c r="J348" s="142"/>
      <c r="K348" s="175" t="s">
        <v>538</v>
      </c>
      <c r="N348" s="106"/>
      <c r="O348" s="106"/>
      <c r="P348" s="106"/>
      <c r="Q348" s="106"/>
      <c r="R348" s="106"/>
      <c r="S348" s="106"/>
    </row>
    <row r="349" spans="1:19" s="105" customFormat="1">
      <c r="A349" s="106"/>
      <c r="B349" s="194"/>
      <c r="C349" s="139"/>
      <c r="D349" s="140"/>
      <c r="E349" s="139"/>
      <c r="F349" s="139"/>
      <c r="G349" s="140"/>
      <c r="H349" s="139"/>
      <c r="I349" s="141"/>
      <c r="J349" s="142"/>
      <c r="K349" s="143" t="s">
        <v>536</v>
      </c>
      <c r="N349" s="106"/>
      <c r="O349" s="106"/>
      <c r="P349" s="106"/>
      <c r="Q349" s="106"/>
      <c r="R349" s="106"/>
      <c r="S349" s="106"/>
    </row>
    <row r="350" spans="1:19" s="105" customFormat="1">
      <c r="A350" s="106"/>
      <c r="B350" s="194"/>
      <c r="C350" s="139"/>
      <c r="D350" s="140"/>
      <c r="E350" s="139"/>
      <c r="F350" s="139"/>
      <c r="G350" s="140"/>
      <c r="H350" s="139"/>
      <c r="I350" s="141"/>
      <c r="J350" s="142"/>
      <c r="K350" s="143" t="s">
        <v>537</v>
      </c>
      <c r="N350" s="106"/>
      <c r="O350" s="106"/>
      <c r="P350" s="106"/>
      <c r="Q350" s="106"/>
      <c r="R350" s="106"/>
      <c r="S350" s="106"/>
    </row>
    <row r="351" spans="1:19" s="105" customFormat="1" ht="75">
      <c r="A351" s="106"/>
      <c r="B351" s="194" t="s">
        <v>114</v>
      </c>
      <c r="C351" s="139"/>
      <c r="D351" s="140"/>
      <c r="E351" s="139">
        <v>0.3508</v>
      </c>
      <c r="F351" s="139"/>
      <c r="G351" s="140"/>
      <c r="H351" s="139">
        <v>0.37912000000000001</v>
      </c>
      <c r="I351" s="141">
        <f t="shared" si="18"/>
        <v>2.8320000000000012E-2</v>
      </c>
      <c r="J351" s="142">
        <f t="shared" si="19"/>
        <v>7.4699303650559221</v>
      </c>
      <c r="K351" s="175" t="s">
        <v>512</v>
      </c>
      <c r="L351" s="105">
        <f>SUM(L352:L353)</f>
        <v>379120</v>
      </c>
      <c r="N351" s="106"/>
      <c r="O351" s="106"/>
      <c r="P351" s="106"/>
      <c r="Q351" s="106"/>
      <c r="R351" s="106"/>
      <c r="S351" s="106"/>
    </row>
    <row r="352" spans="1:19" s="105" customFormat="1" ht="37.5">
      <c r="A352" s="106"/>
      <c r="B352" s="194"/>
      <c r="C352" s="139"/>
      <c r="D352" s="140"/>
      <c r="E352" s="139"/>
      <c r="F352" s="139"/>
      <c r="G352" s="140"/>
      <c r="H352" s="139"/>
      <c r="I352" s="141"/>
      <c r="J352" s="142"/>
      <c r="K352" s="175" t="s">
        <v>513</v>
      </c>
      <c r="L352" s="105">
        <v>36800</v>
      </c>
      <c r="N352" s="106"/>
      <c r="O352" s="106"/>
      <c r="P352" s="106"/>
      <c r="Q352" s="106"/>
      <c r="R352" s="106"/>
      <c r="S352" s="106"/>
    </row>
    <row r="353" spans="1:19" s="105" customFormat="1" ht="56.25">
      <c r="A353" s="106"/>
      <c r="B353" s="194"/>
      <c r="C353" s="139"/>
      <c r="D353" s="140"/>
      <c r="E353" s="139"/>
      <c r="F353" s="139"/>
      <c r="G353" s="140"/>
      <c r="H353" s="139"/>
      <c r="I353" s="141"/>
      <c r="J353" s="142"/>
      <c r="K353" s="219" t="s">
        <v>546</v>
      </c>
      <c r="L353" s="320">
        <v>342320</v>
      </c>
      <c r="N353" s="106"/>
      <c r="O353" s="106"/>
      <c r="P353" s="106"/>
      <c r="Q353" s="106"/>
      <c r="R353" s="106"/>
      <c r="S353" s="106"/>
    </row>
    <row r="354" spans="1:19" s="105" customFormat="1" ht="37.5">
      <c r="A354" s="106"/>
      <c r="B354" s="194" t="s">
        <v>544</v>
      </c>
      <c r="C354" s="139"/>
      <c r="D354" s="140"/>
      <c r="E354" s="139"/>
      <c r="F354" s="139"/>
      <c r="G354" s="140"/>
      <c r="H354" s="139">
        <v>0.25900000000000001</v>
      </c>
      <c r="I354" s="141">
        <f t="shared" si="18"/>
        <v>0.25900000000000001</v>
      </c>
      <c r="J354" s="142">
        <f t="shared" si="19"/>
        <v>100</v>
      </c>
      <c r="K354" s="219" t="s">
        <v>545</v>
      </c>
      <c r="L354" s="320">
        <v>259000</v>
      </c>
      <c r="N354" s="106"/>
      <c r="O354" s="106"/>
      <c r="P354" s="106"/>
      <c r="Q354" s="106"/>
      <c r="R354" s="106"/>
      <c r="S354" s="106"/>
    </row>
    <row r="355" spans="1:19" s="105" customFormat="1">
      <c r="A355" s="106"/>
      <c r="B355" s="194"/>
      <c r="C355" s="139"/>
      <c r="D355" s="140"/>
      <c r="E355" s="139"/>
      <c r="F355" s="139"/>
      <c r="G355" s="140"/>
      <c r="H355" s="139"/>
      <c r="I355" s="141"/>
      <c r="J355" s="142"/>
      <c r="K355" s="175"/>
      <c r="N355" s="106"/>
      <c r="O355" s="106"/>
      <c r="P355" s="106"/>
      <c r="Q355" s="106"/>
      <c r="R355" s="106"/>
      <c r="S355" s="106"/>
    </row>
    <row r="356" spans="1:19" s="105" customFormat="1">
      <c r="A356" s="106"/>
      <c r="B356" s="194"/>
      <c r="C356" s="139"/>
      <c r="D356" s="140"/>
      <c r="E356" s="139"/>
      <c r="F356" s="139"/>
      <c r="G356" s="140"/>
      <c r="H356" s="139"/>
      <c r="I356" s="141"/>
      <c r="J356" s="142"/>
      <c r="K356" s="175"/>
      <c r="N356" s="106"/>
      <c r="O356" s="106"/>
      <c r="P356" s="106"/>
      <c r="Q356" s="106"/>
      <c r="R356" s="106"/>
      <c r="S356" s="106"/>
    </row>
    <row r="357" spans="1:19" s="105" customFormat="1">
      <c r="A357" s="106"/>
      <c r="B357" s="194"/>
      <c r="C357" s="139"/>
      <c r="D357" s="140"/>
      <c r="E357" s="139"/>
      <c r="F357" s="139"/>
      <c r="G357" s="140"/>
      <c r="H357" s="139"/>
      <c r="I357" s="141"/>
      <c r="J357" s="142"/>
      <c r="K357" s="175"/>
      <c r="N357" s="106"/>
      <c r="O357" s="106"/>
      <c r="P357" s="106"/>
      <c r="Q357" s="106"/>
      <c r="R357" s="106"/>
      <c r="S357" s="106"/>
    </row>
    <row r="358" spans="1:19" s="105" customFormat="1">
      <c r="A358" s="106"/>
      <c r="B358" s="194"/>
      <c r="C358" s="139"/>
      <c r="D358" s="140"/>
      <c r="E358" s="139"/>
      <c r="F358" s="139"/>
      <c r="G358" s="140"/>
      <c r="H358" s="139"/>
      <c r="I358" s="141"/>
      <c r="J358" s="142"/>
      <c r="K358" s="175"/>
      <c r="N358" s="106"/>
      <c r="O358" s="106"/>
      <c r="P358" s="106"/>
      <c r="Q358" s="106"/>
      <c r="R358" s="106"/>
      <c r="S358" s="106"/>
    </row>
    <row r="359" spans="1:19" s="105" customFormat="1">
      <c r="A359" s="106"/>
      <c r="B359" s="194"/>
      <c r="C359" s="139"/>
      <c r="D359" s="140"/>
      <c r="E359" s="139"/>
      <c r="F359" s="139"/>
      <c r="G359" s="140"/>
      <c r="H359" s="139"/>
      <c r="I359" s="141"/>
      <c r="J359" s="142"/>
      <c r="K359" s="143"/>
      <c r="N359" s="106"/>
      <c r="O359" s="106"/>
      <c r="P359" s="106"/>
      <c r="Q359" s="106"/>
      <c r="R359" s="106"/>
      <c r="S359" s="106"/>
    </row>
    <row r="360" spans="1:19" s="105" customFormat="1">
      <c r="A360" s="106"/>
      <c r="B360" s="175" t="s">
        <v>43</v>
      </c>
      <c r="C360" s="139"/>
      <c r="D360" s="140"/>
      <c r="E360" s="139">
        <f>SUM(E363:E392)</f>
        <v>15.342500000000001</v>
      </c>
      <c r="F360" s="139"/>
      <c r="G360" s="140"/>
      <c r="H360" s="139">
        <f>SUM(H363:H392)</f>
        <v>38.371899999999997</v>
      </c>
      <c r="I360" s="141">
        <f t="shared" si="18"/>
        <v>23.029399999999995</v>
      </c>
      <c r="J360" s="142">
        <f t="shared" si="19"/>
        <v>60.016314021458406</v>
      </c>
      <c r="K360" s="143"/>
      <c r="N360" s="106"/>
      <c r="O360" s="106"/>
      <c r="P360" s="106"/>
      <c r="Q360" s="106"/>
      <c r="R360" s="106"/>
      <c r="S360" s="106"/>
    </row>
    <row r="361" spans="1:19" s="105" customFormat="1">
      <c r="A361" s="106"/>
      <c r="B361" s="175" t="s">
        <v>19</v>
      </c>
      <c r="C361" s="139"/>
      <c r="D361" s="140"/>
      <c r="E361" s="139"/>
      <c r="F361" s="139"/>
      <c r="G361" s="140"/>
      <c r="H361" s="139"/>
      <c r="I361" s="141"/>
      <c r="J361" s="142"/>
      <c r="K361" s="143"/>
      <c r="N361" s="106"/>
      <c r="O361" s="106"/>
      <c r="P361" s="106"/>
      <c r="Q361" s="106"/>
      <c r="R361" s="106"/>
      <c r="S361" s="106"/>
    </row>
    <row r="362" spans="1:19" s="105" customFormat="1">
      <c r="A362" s="106"/>
      <c r="B362" s="175"/>
      <c r="C362" s="139"/>
      <c r="D362" s="140"/>
      <c r="E362" s="139"/>
      <c r="F362" s="139"/>
      <c r="G362" s="140"/>
      <c r="H362" s="139"/>
      <c r="I362" s="141"/>
      <c r="J362" s="142"/>
      <c r="K362" s="143"/>
      <c r="N362" s="106"/>
      <c r="O362" s="106"/>
      <c r="P362" s="106"/>
      <c r="Q362" s="106"/>
      <c r="R362" s="106"/>
      <c r="S362" s="106"/>
    </row>
    <row r="363" spans="1:19" s="105" customFormat="1" ht="56.25">
      <c r="A363" s="106"/>
      <c r="B363" s="194" t="s">
        <v>85</v>
      </c>
      <c r="C363" s="139"/>
      <c r="D363" s="140"/>
      <c r="E363" s="139">
        <v>1.1062000000000001</v>
      </c>
      <c r="F363" s="139"/>
      <c r="G363" s="140"/>
      <c r="H363" s="139">
        <f>2</f>
        <v>2</v>
      </c>
      <c r="I363" s="141">
        <f t="shared" si="18"/>
        <v>0.89379999999999993</v>
      </c>
      <c r="J363" s="142">
        <f t="shared" si="19"/>
        <v>44.69</v>
      </c>
      <c r="K363" s="175" t="s">
        <v>495</v>
      </c>
      <c r="L363" s="105">
        <f>SUM(L364:L367)</f>
        <v>846400</v>
      </c>
      <c r="N363" s="106"/>
      <c r="O363" s="106"/>
      <c r="P363" s="106"/>
      <c r="Q363" s="106"/>
      <c r="R363" s="106"/>
      <c r="S363" s="106"/>
    </row>
    <row r="364" spans="1:19" s="105" customFormat="1" ht="37.5">
      <c r="A364" s="106"/>
      <c r="B364" s="194"/>
      <c r="C364" s="139"/>
      <c r="D364" s="140"/>
      <c r="E364" s="139"/>
      <c r="F364" s="139"/>
      <c r="G364" s="140"/>
      <c r="H364" s="139"/>
      <c r="I364" s="141"/>
      <c r="J364" s="142"/>
      <c r="K364" s="175" t="s">
        <v>496</v>
      </c>
      <c r="L364" s="105">
        <v>100000</v>
      </c>
      <c r="N364" s="106"/>
      <c r="O364" s="106"/>
      <c r="P364" s="106"/>
      <c r="Q364" s="106"/>
      <c r="R364" s="106"/>
      <c r="S364" s="106"/>
    </row>
    <row r="365" spans="1:19" s="105" customFormat="1" ht="78" customHeight="1">
      <c r="A365" s="106"/>
      <c r="B365" s="194"/>
      <c r="C365" s="139"/>
      <c r="D365" s="140"/>
      <c r="E365" s="139"/>
      <c r="F365" s="139"/>
      <c r="G365" s="140"/>
      <c r="H365" s="139"/>
      <c r="I365" s="141"/>
      <c r="J365" s="142"/>
      <c r="K365" s="175" t="s">
        <v>515</v>
      </c>
      <c r="L365" s="105">
        <v>346400</v>
      </c>
      <c r="N365" s="106"/>
      <c r="O365" s="106"/>
      <c r="P365" s="106"/>
      <c r="Q365" s="106"/>
      <c r="R365" s="106"/>
      <c r="S365" s="106"/>
    </row>
    <row r="366" spans="1:19" s="105" customFormat="1">
      <c r="A366" s="106"/>
      <c r="B366" s="194"/>
      <c r="C366" s="139"/>
      <c r="D366" s="140"/>
      <c r="E366" s="139"/>
      <c r="F366" s="139"/>
      <c r="G366" s="140"/>
      <c r="H366" s="139"/>
      <c r="I366" s="141"/>
      <c r="J366" s="142"/>
      <c r="K366" s="219" t="s">
        <v>557</v>
      </c>
      <c r="L366" s="320">
        <v>300000</v>
      </c>
      <c r="N366" s="106"/>
      <c r="O366" s="106"/>
      <c r="P366" s="106"/>
      <c r="Q366" s="106"/>
      <c r="R366" s="106"/>
      <c r="S366" s="106"/>
    </row>
    <row r="367" spans="1:19" s="105" customFormat="1" ht="37.5">
      <c r="A367" s="106"/>
      <c r="B367" s="194"/>
      <c r="C367" s="139"/>
      <c r="D367" s="140"/>
      <c r="E367" s="139"/>
      <c r="F367" s="139"/>
      <c r="G367" s="140"/>
      <c r="H367" s="139"/>
      <c r="I367" s="141"/>
      <c r="J367" s="142"/>
      <c r="K367" s="219" t="s">
        <v>559</v>
      </c>
      <c r="L367" s="320">
        <v>100000</v>
      </c>
      <c r="N367" s="106"/>
      <c r="O367" s="106"/>
      <c r="P367" s="106"/>
      <c r="Q367" s="106"/>
      <c r="R367" s="106"/>
      <c r="S367" s="106"/>
    </row>
    <row r="368" spans="1:19" s="105" customFormat="1">
      <c r="A368" s="106"/>
      <c r="B368" s="194"/>
      <c r="C368" s="139"/>
      <c r="D368" s="140"/>
      <c r="E368" s="139"/>
      <c r="F368" s="139"/>
      <c r="G368" s="140"/>
      <c r="H368" s="139"/>
      <c r="I368" s="141"/>
      <c r="J368" s="142"/>
      <c r="K368" s="175"/>
      <c r="N368" s="106"/>
      <c r="O368" s="106"/>
      <c r="P368" s="106"/>
      <c r="Q368" s="106"/>
      <c r="R368" s="106"/>
      <c r="S368" s="106"/>
    </row>
    <row r="369" spans="1:19" s="105" customFormat="1">
      <c r="A369" s="106"/>
      <c r="B369" s="194"/>
      <c r="C369" s="139"/>
      <c r="D369" s="140"/>
      <c r="E369" s="139"/>
      <c r="F369" s="139"/>
      <c r="G369" s="140"/>
      <c r="H369" s="139"/>
      <c r="I369" s="141"/>
      <c r="J369" s="142"/>
      <c r="K369" s="143"/>
      <c r="N369" s="106"/>
      <c r="O369" s="106"/>
      <c r="P369" s="106"/>
      <c r="Q369" s="106"/>
      <c r="R369" s="106"/>
      <c r="S369" s="106"/>
    </row>
    <row r="370" spans="1:19" s="105" customFormat="1" ht="56.25">
      <c r="A370" s="106"/>
      <c r="B370" s="194" t="s">
        <v>86</v>
      </c>
      <c r="C370" s="139"/>
      <c r="D370" s="140"/>
      <c r="E370" s="139">
        <v>2.0531000000000001</v>
      </c>
      <c r="F370" s="139"/>
      <c r="G370" s="140"/>
      <c r="H370" s="139">
        <f>4.3378-1+1.4748</f>
        <v>4.8125999999999998</v>
      </c>
      <c r="I370" s="141">
        <f t="shared" si="18"/>
        <v>2.7594999999999996</v>
      </c>
      <c r="J370" s="142">
        <f t="shared" si="19"/>
        <v>57.339068279100694</v>
      </c>
      <c r="K370" s="175" t="s">
        <v>558</v>
      </c>
      <c r="L370" s="105">
        <f>+L371+L372</f>
        <v>4337800</v>
      </c>
      <c r="N370" s="106"/>
      <c r="O370" s="106"/>
      <c r="P370" s="106"/>
      <c r="Q370" s="106"/>
      <c r="R370" s="106"/>
      <c r="S370" s="106"/>
    </row>
    <row r="371" spans="1:19" s="105" customFormat="1" ht="37.5">
      <c r="A371" s="106"/>
      <c r="B371" s="194"/>
      <c r="C371" s="139"/>
      <c r="D371" s="140"/>
      <c r="E371" s="139"/>
      <c r="F371" s="139"/>
      <c r="G371" s="140"/>
      <c r="H371" s="139"/>
      <c r="I371" s="141"/>
      <c r="J371" s="142"/>
      <c r="K371" s="219" t="s">
        <v>561</v>
      </c>
      <c r="L371" s="320">
        <v>4137800</v>
      </c>
      <c r="N371" s="106"/>
      <c r="O371" s="106"/>
      <c r="P371" s="106"/>
      <c r="Q371" s="106"/>
      <c r="R371" s="106"/>
      <c r="S371" s="106"/>
    </row>
    <row r="372" spans="1:19" s="105" customFormat="1" ht="37.5">
      <c r="A372" s="106"/>
      <c r="B372" s="194"/>
      <c r="C372" s="139"/>
      <c r="D372" s="140"/>
      <c r="E372" s="139"/>
      <c r="F372" s="139"/>
      <c r="G372" s="140"/>
      <c r="H372" s="139"/>
      <c r="I372" s="141"/>
      <c r="J372" s="142"/>
      <c r="K372" s="175" t="s">
        <v>563</v>
      </c>
      <c r="L372" s="322">
        <v>200000</v>
      </c>
      <c r="N372" s="106"/>
      <c r="O372" s="106"/>
      <c r="P372" s="106"/>
      <c r="Q372" s="106"/>
      <c r="R372" s="106"/>
      <c r="S372" s="106"/>
    </row>
    <row r="373" spans="1:19" s="105" customFormat="1">
      <c r="A373" s="106"/>
      <c r="B373" s="194"/>
      <c r="C373" s="139"/>
      <c r="D373" s="140"/>
      <c r="E373" s="139"/>
      <c r="F373" s="139"/>
      <c r="G373" s="140"/>
      <c r="H373" s="139"/>
      <c r="I373" s="141"/>
      <c r="J373" s="142"/>
      <c r="K373" s="175"/>
      <c r="L373" s="322"/>
      <c r="N373" s="106"/>
      <c r="O373" s="106"/>
      <c r="P373" s="106"/>
      <c r="Q373" s="106"/>
      <c r="R373" s="106"/>
      <c r="S373" s="106"/>
    </row>
    <row r="374" spans="1:19" s="105" customFormat="1">
      <c r="A374" s="106"/>
      <c r="B374" s="194" t="s">
        <v>87</v>
      </c>
      <c r="C374" s="139"/>
      <c r="D374" s="140"/>
      <c r="E374" s="139">
        <v>2.1779000000000002</v>
      </c>
      <c r="F374" s="139"/>
      <c r="G374" s="140"/>
      <c r="H374" s="139">
        <f>12.463-3.1037-1.4</f>
        <v>7.9592999999999989</v>
      </c>
      <c r="I374" s="141">
        <f t="shared" si="18"/>
        <v>5.7813999999999988</v>
      </c>
      <c r="J374" s="142">
        <f t="shared" si="19"/>
        <v>72.637040945811805</v>
      </c>
      <c r="K374" s="143" t="s">
        <v>497</v>
      </c>
      <c r="L374" s="105">
        <f>SUM(L375:L378)</f>
        <v>12463000</v>
      </c>
      <c r="N374" s="106"/>
      <c r="O374" s="106"/>
      <c r="P374" s="106"/>
      <c r="Q374" s="106"/>
      <c r="R374" s="106"/>
      <c r="S374" s="106"/>
    </row>
    <row r="375" spans="1:19" s="105" customFormat="1" ht="75">
      <c r="A375" s="106"/>
      <c r="B375" s="194"/>
      <c r="C375" s="139"/>
      <c r="D375" s="140"/>
      <c r="E375" s="139"/>
      <c r="F375" s="139"/>
      <c r="G375" s="140"/>
      <c r="H375" s="139"/>
      <c r="I375" s="141"/>
      <c r="J375" s="142"/>
      <c r="K375" s="175" t="s">
        <v>498</v>
      </c>
      <c r="L375" s="105">
        <v>1450000</v>
      </c>
      <c r="N375" s="106"/>
      <c r="O375" s="106"/>
      <c r="P375" s="106"/>
      <c r="Q375" s="106"/>
      <c r="R375" s="106"/>
      <c r="S375" s="106"/>
    </row>
    <row r="376" spans="1:19" s="105" customFormat="1" ht="56.25">
      <c r="A376" s="106"/>
      <c r="B376" s="194"/>
      <c r="C376" s="139"/>
      <c r="D376" s="140"/>
      <c r="E376" s="139"/>
      <c r="F376" s="139"/>
      <c r="G376" s="140"/>
      <c r="H376" s="139"/>
      <c r="I376" s="141"/>
      <c r="J376" s="142"/>
      <c r="K376" s="323" t="s">
        <v>499</v>
      </c>
      <c r="L376" s="105">
        <v>1950000</v>
      </c>
      <c r="N376" s="106"/>
      <c r="O376" s="106"/>
      <c r="P376" s="106"/>
      <c r="Q376" s="106"/>
      <c r="R376" s="106"/>
      <c r="S376" s="106"/>
    </row>
    <row r="377" spans="1:19" s="105" customFormat="1" ht="56.25">
      <c r="A377" s="106"/>
      <c r="B377" s="194"/>
      <c r="C377" s="139"/>
      <c r="D377" s="140"/>
      <c r="E377" s="139"/>
      <c r="F377" s="139"/>
      <c r="G377" s="140"/>
      <c r="H377" s="139"/>
      <c r="I377" s="141"/>
      <c r="J377" s="142"/>
      <c r="K377" s="175" t="s">
        <v>514</v>
      </c>
      <c r="L377" s="105">
        <v>421400</v>
      </c>
      <c r="N377" s="106"/>
      <c r="O377" s="106"/>
      <c r="P377" s="106"/>
      <c r="Q377" s="106"/>
      <c r="R377" s="106"/>
      <c r="S377" s="106"/>
    </row>
    <row r="378" spans="1:19" s="105" customFormat="1" ht="37.5">
      <c r="A378" s="106"/>
      <c r="B378" s="194"/>
      <c r="C378" s="139"/>
      <c r="D378" s="140"/>
      <c r="E378" s="139"/>
      <c r="F378" s="139"/>
      <c r="G378" s="140"/>
      <c r="H378" s="139"/>
      <c r="I378" s="141"/>
      <c r="J378" s="142"/>
      <c r="K378" s="219" t="s">
        <v>562</v>
      </c>
      <c r="L378" s="320">
        <v>8641600</v>
      </c>
      <c r="N378" s="106"/>
      <c r="O378" s="106"/>
      <c r="P378" s="106"/>
      <c r="Q378" s="106"/>
      <c r="R378" s="106"/>
      <c r="S378" s="106"/>
    </row>
    <row r="379" spans="1:19" s="105" customFormat="1">
      <c r="A379" s="106"/>
      <c r="B379" s="194"/>
      <c r="C379" s="139"/>
      <c r="D379" s="140"/>
      <c r="E379" s="139"/>
      <c r="F379" s="139"/>
      <c r="G379" s="140"/>
      <c r="H379" s="139"/>
      <c r="I379" s="141"/>
      <c r="J379" s="142"/>
      <c r="K379" s="143"/>
      <c r="N379" s="106"/>
      <c r="O379" s="106"/>
      <c r="P379" s="106"/>
      <c r="Q379" s="106"/>
      <c r="R379" s="106"/>
      <c r="S379" s="106"/>
    </row>
    <row r="380" spans="1:19" s="105" customFormat="1" ht="37.5">
      <c r="A380" s="106"/>
      <c r="B380" s="194" t="s">
        <v>88</v>
      </c>
      <c r="C380" s="139"/>
      <c r="D380" s="140"/>
      <c r="E380" s="139">
        <v>0.59630000000000005</v>
      </c>
      <c r="F380" s="139"/>
      <c r="G380" s="140"/>
      <c r="H380" s="139">
        <v>1.1000000000000001</v>
      </c>
      <c r="I380" s="141">
        <f t="shared" si="18"/>
        <v>0.50370000000000004</v>
      </c>
      <c r="J380" s="142">
        <f t="shared" si="19"/>
        <v>45.790909090909089</v>
      </c>
      <c r="K380" s="175" t="s">
        <v>550</v>
      </c>
      <c r="L380" s="105">
        <f>SUM(L381:L383)</f>
        <v>1100000</v>
      </c>
      <c r="N380" s="106"/>
      <c r="O380" s="106"/>
      <c r="P380" s="106"/>
      <c r="Q380" s="106"/>
      <c r="R380" s="106"/>
      <c r="S380" s="106"/>
    </row>
    <row r="381" spans="1:19" s="105" customFormat="1" ht="37.5">
      <c r="A381" s="106"/>
      <c r="B381" s="194"/>
      <c r="C381" s="139"/>
      <c r="D381" s="140"/>
      <c r="E381" s="139"/>
      <c r="F381" s="139"/>
      <c r="G381" s="140"/>
      <c r="H381" s="139"/>
      <c r="I381" s="141"/>
      <c r="J381" s="142"/>
      <c r="K381" s="219" t="s">
        <v>551</v>
      </c>
      <c r="L381" s="320">
        <v>202300</v>
      </c>
      <c r="N381" s="106"/>
      <c r="O381" s="106"/>
      <c r="P381" s="106"/>
      <c r="Q381" s="106"/>
      <c r="R381" s="106"/>
      <c r="S381" s="106"/>
    </row>
    <row r="382" spans="1:19" s="105" customFormat="1" ht="56.25">
      <c r="A382" s="106"/>
      <c r="B382" s="194"/>
      <c r="C382" s="139"/>
      <c r="D382" s="140"/>
      <c r="E382" s="139"/>
      <c r="F382" s="139"/>
      <c r="G382" s="140"/>
      <c r="H382" s="139"/>
      <c r="I382" s="141"/>
      <c r="J382" s="142"/>
      <c r="K382" s="175" t="s">
        <v>552</v>
      </c>
      <c r="L382" s="105">
        <v>797700</v>
      </c>
      <c r="N382" s="106"/>
      <c r="O382" s="106"/>
      <c r="P382" s="106"/>
      <c r="Q382" s="106"/>
      <c r="R382" s="106"/>
      <c r="S382" s="106"/>
    </row>
    <row r="383" spans="1:19" s="105" customFormat="1">
      <c r="A383" s="106"/>
      <c r="B383" s="194"/>
      <c r="C383" s="139"/>
      <c r="D383" s="140"/>
      <c r="E383" s="139"/>
      <c r="F383" s="139"/>
      <c r="G383" s="140"/>
      <c r="H383" s="139"/>
      <c r="I383" s="141"/>
      <c r="J383" s="142"/>
      <c r="K383" s="175" t="s">
        <v>560</v>
      </c>
      <c r="L383" s="320">
        <v>100000</v>
      </c>
      <c r="N383" s="106"/>
      <c r="O383" s="106"/>
      <c r="P383" s="106"/>
      <c r="Q383" s="106"/>
      <c r="R383" s="106"/>
      <c r="S383" s="106"/>
    </row>
    <row r="384" spans="1:19" s="105" customFormat="1">
      <c r="A384" s="106"/>
      <c r="B384" s="194"/>
      <c r="C384" s="139"/>
      <c r="D384" s="140"/>
      <c r="E384" s="139"/>
      <c r="F384" s="139"/>
      <c r="G384" s="140"/>
      <c r="H384" s="139"/>
      <c r="I384" s="141"/>
      <c r="J384" s="142"/>
      <c r="K384" s="143"/>
      <c r="N384" s="106"/>
      <c r="O384" s="106"/>
      <c r="P384" s="106"/>
      <c r="Q384" s="106"/>
      <c r="R384" s="106"/>
      <c r="S384" s="106"/>
    </row>
    <row r="385" spans="1:19" s="105" customFormat="1" ht="37.5">
      <c r="A385" s="106"/>
      <c r="B385" s="194" t="s">
        <v>120</v>
      </c>
      <c r="C385" s="139"/>
      <c r="D385" s="140"/>
      <c r="E385" s="139">
        <v>9.4090000000000007</v>
      </c>
      <c r="F385" s="139"/>
      <c r="G385" s="140"/>
      <c r="H385" s="139">
        <v>10</v>
      </c>
      <c r="I385" s="141">
        <f t="shared" si="18"/>
        <v>0.5909999999999993</v>
      </c>
      <c r="J385" s="142">
        <f t="shared" si="19"/>
        <v>5.909999999999993</v>
      </c>
      <c r="K385" s="219" t="s">
        <v>547</v>
      </c>
      <c r="L385" s="320">
        <v>7600000</v>
      </c>
      <c r="N385" s="106"/>
      <c r="O385" s="106"/>
      <c r="P385" s="106"/>
      <c r="Q385" s="106"/>
      <c r="R385" s="106"/>
      <c r="S385" s="106"/>
    </row>
    <row r="386" spans="1:19" s="105" customFormat="1">
      <c r="A386" s="106"/>
      <c r="B386" s="194"/>
      <c r="C386" s="139"/>
      <c r="D386" s="140"/>
      <c r="E386" s="139"/>
      <c r="F386" s="139"/>
      <c r="G386" s="140"/>
      <c r="H386" s="139"/>
      <c r="I386" s="141"/>
      <c r="J386" s="142"/>
      <c r="K386" s="219" t="s">
        <v>567</v>
      </c>
      <c r="L386" s="320"/>
      <c r="N386" s="106"/>
      <c r="O386" s="106"/>
      <c r="P386" s="106"/>
      <c r="Q386" s="106"/>
      <c r="R386" s="106"/>
      <c r="S386" s="106"/>
    </row>
    <row r="387" spans="1:19" s="105" customFormat="1">
      <c r="A387" s="106"/>
      <c r="B387" s="194"/>
      <c r="C387" s="139"/>
      <c r="D387" s="140"/>
      <c r="E387" s="139"/>
      <c r="F387" s="139"/>
      <c r="G387" s="140"/>
      <c r="H387" s="139"/>
      <c r="I387" s="141"/>
      <c r="J387" s="142"/>
      <c r="K387" s="219"/>
      <c r="L387" s="320"/>
      <c r="N387" s="106"/>
      <c r="O387" s="106"/>
      <c r="P387" s="106"/>
      <c r="Q387" s="106"/>
      <c r="R387" s="106"/>
      <c r="S387" s="106"/>
    </row>
    <row r="388" spans="1:19" s="105" customFormat="1" ht="43.5" customHeight="1">
      <c r="A388" s="106"/>
      <c r="B388" s="194" t="s">
        <v>548</v>
      </c>
      <c r="C388" s="139"/>
      <c r="D388" s="140"/>
      <c r="E388" s="139"/>
      <c r="F388" s="139"/>
      <c r="G388" s="140"/>
      <c r="H388" s="139">
        <v>8</v>
      </c>
      <c r="I388" s="141">
        <f t="shared" ref="I388:I451" si="20">+H388-E388</f>
        <v>8</v>
      </c>
      <c r="J388" s="142">
        <f t="shared" ref="J388:J451" si="21">+I388*100/H388</f>
        <v>100</v>
      </c>
      <c r="K388" s="175" t="s">
        <v>555</v>
      </c>
      <c r="L388" s="322">
        <v>8000000</v>
      </c>
      <c r="N388" s="106"/>
      <c r="O388" s="106"/>
      <c r="P388" s="106"/>
      <c r="Q388" s="106"/>
      <c r="R388" s="106"/>
      <c r="S388" s="106"/>
    </row>
    <row r="389" spans="1:19" s="105" customFormat="1" ht="37.5">
      <c r="A389" s="106"/>
      <c r="B389" s="194" t="s">
        <v>549</v>
      </c>
      <c r="C389" s="139"/>
      <c r="D389" s="140"/>
      <c r="E389" s="139"/>
      <c r="F389" s="139"/>
      <c r="G389" s="140"/>
      <c r="H389" s="139">
        <v>4</v>
      </c>
      <c r="I389" s="141">
        <f t="shared" si="20"/>
        <v>4</v>
      </c>
      <c r="J389" s="142">
        <f t="shared" si="21"/>
        <v>100</v>
      </c>
      <c r="K389" s="219" t="s">
        <v>556</v>
      </c>
      <c r="L389" s="320">
        <v>4000000</v>
      </c>
      <c r="N389" s="106"/>
      <c r="O389" s="106"/>
      <c r="P389" s="106"/>
      <c r="Q389" s="106"/>
      <c r="R389" s="106"/>
      <c r="S389" s="106"/>
    </row>
    <row r="390" spans="1:19" s="105" customFormat="1">
      <c r="A390" s="106"/>
      <c r="B390" s="194" t="s">
        <v>553</v>
      </c>
      <c r="C390" s="139"/>
      <c r="D390" s="140"/>
      <c r="E390" s="139"/>
      <c r="F390" s="139"/>
      <c r="G390" s="140"/>
      <c r="H390" s="139">
        <v>0.1</v>
      </c>
      <c r="I390" s="141">
        <f t="shared" si="20"/>
        <v>0.1</v>
      </c>
      <c r="J390" s="142">
        <f t="shared" si="21"/>
        <v>100</v>
      </c>
      <c r="K390" s="143" t="s">
        <v>516</v>
      </c>
      <c r="N390" s="106"/>
      <c r="O390" s="106"/>
      <c r="P390" s="106"/>
      <c r="Q390" s="106"/>
      <c r="R390" s="106"/>
      <c r="S390" s="106"/>
    </row>
    <row r="391" spans="1:19" s="105" customFormat="1">
      <c r="A391" s="106"/>
      <c r="B391" s="194" t="s">
        <v>554</v>
      </c>
      <c r="C391" s="139"/>
      <c r="D391" s="140"/>
      <c r="E391" s="139"/>
      <c r="F391" s="139"/>
      <c r="G391" s="140"/>
      <c r="H391" s="139">
        <f>0.4-0.18</f>
        <v>0.22000000000000003</v>
      </c>
      <c r="I391" s="141">
        <f t="shared" si="20"/>
        <v>0.22000000000000003</v>
      </c>
      <c r="J391" s="142">
        <f t="shared" si="21"/>
        <v>100</v>
      </c>
      <c r="K391" s="143" t="s">
        <v>517</v>
      </c>
      <c r="N391" s="106"/>
      <c r="O391" s="106"/>
      <c r="P391" s="106"/>
      <c r="Q391" s="106"/>
      <c r="R391" s="106"/>
      <c r="S391" s="106"/>
    </row>
    <row r="392" spans="1:19" s="105" customFormat="1" ht="40.5">
      <c r="A392" s="106"/>
      <c r="B392" s="175" t="s">
        <v>69</v>
      </c>
      <c r="C392" s="139"/>
      <c r="D392" s="140"/>
      <c r="E392" s="139"/>
      <c r="F392" s="139"/>
      <c r="G392" s="140"/>
      <c r="H392" s="139">
        <v>0.18</v>
      </c>
      <c r="I392" s="141">
        <f t="shared" si="20"/>
        <v>0.18</v>
      </c>
      <c r="J392" s="142">
        <f t="shared" si="21"/>
        <v>100</v>
      </c>
      <c r="K392" s="143"/>
      <c r="N392" s="106"/>
      <c r="O392" s="106"/>
      <c r="P392" s="106"/>
      <c r="Q392" s="106"/>
      <c r="R392" s="106"/>
      <c r="S392" s="106"/>
    </row>
    <row r="393" spans="1:19" s="105" customFormat="1">
      <c r="A393" s="106"/>
      <c r="B393" s="194" t="s">
        <v>2</v>
      </c>
      <c r="C393" s="139"/>
      <c r="D393" s="140"/>
      <c r="E393" s="139"/>
      <c r="F393" s="139"/>
      <c r="G393" s="140"/>
      <c r="H393" s="139"/>
      <c r="I393" s="141"/>
      <c r="J393" s="142"/>
      <c r="K393" s="143"/>
      <c r="N393" s="106"/>
      <c r="O393" s="106"/>
      <c r="P393" s="106"/>
      <c r="Q393" s="106"/>
      <c r="R393" s="106"/>
      <c r="S393" s="106"/>
    </row>
    <row r="394" spans="1:19" s="105" customFormat="1">
      <c r="A394" s="106"/>
      <c r="B394" s="194" t="s">
        <v>3</v>
      </c>
      <c r="C394" s="139"/>
      <c r="D394" s="140"/>
      <c r="E394" s="139"/>
      <c r="F394" s="139"/>
      <c r="G394" s="140"/>
      <c r="H394" s="139"/>
      <c r="I394" s="141"/>
      <c r="J394" s="142"/>
      <c r="K394" s="143"/>
      <c r="N394" s="106"/>
      <c r="O394" s="106"/>
      <c r="P394" s="106"/>
      <c r="Q394" s="106"/>
      <c r="R394" s="106"/>
      <c r="S394" s="106"/>
    </row>
    <row r="395" spans="1:19" s="105" customFormat="1" ht="37.5">
      <c r="A395" s="106"/>
      <c r="B395" s="194" t="s">
        <v>518</v>
      </c>
      <c r="C395" s="139"/>
      <c r="D395" s="140"/>
      <c r="E395" s="139"/>
      <c r="F395" s="139"/>
      <c r="G395" s="140"/>
      <c r="H395" s="139"/>
      <c r="I395" s="141"/>
      <c r="J395" s="142"/>
      <c r="K395" s="175" t="s">
        <v>519</v>
      </c>
      <c r="L395" s="105">
        <v>180000</v>
      </c>
      <c r="N395" s="106"/>
      <c r="O395" s="106"/>
      <c r="P395" s="106"/>
      <c r="Q395" s="106"/>
      <c r="R395" s="106"/>
      <c r="S395" s="106"/>
    </row>
    <row r="396" spans="1:19" s="105" customFormat="1">
      <c r="A396" s="106"/>
      <c r="B396" s="175"/>
      <c r="C396" s="139"/>
      <c r="D396" s="140"/>
      <c r="E396" s="139"/>
      <c r="F396" s="139"/>
      <c r="G396" s="140"/>
      <c r="H396" s="139"/>
      <c r="I396" s="141"/>
      <c r="J396" s="142"/>
      <c r="K396" s="143"/>
      <c r="N396" s="106"/>
      <c r="O396" s="106"/>
      <c r="P396" s="106"/>
      <c r="Q396" s="106"/>
      <c r="R396" s="106"/>
      <c r="S396" s="106"/>
    </row>
    <row r="397" spans="1:19" s="105" customFormat="1">
      <c r="A397" s="106"/>
      <c r="B397" s="175" t="s">
        <v>22</v>
      </c>
      <c r="C397" s="139"/>
      <c r="D397" s="140"/>
      <c r="E397" s="139"/>
      <c r="F397" s="139"/>
      <c r="G397" s="140"/>
      <c r="H397" s="139"/>
      <c r="I397" s="141"/>
      <c r="J397" s="142"/>
      <c r="K397" s="143"/>
      <c r="N397" s="106"/>
      <c r="O397" s="106"/>
      <c r="P397" s="106"/>
      <c r="Q397" s="106"/>
      <c r="R397" s="106"/>
      <c r="S397" s="106"/>
    </row>
    <row r="398" spans="1:19" s="105" customFormat="1">
      <c r="A398" s="106"/>
      <c r="B398" s="194" t="s">
        <v>21</v>
      </c>
      <c r="C398" s="139"/>
      <c r="D398" s="140"/>
      <c r="E398" s="139"/>
      <c r="F398" s="139"/>
      <c r="G398" s="140"/>
      <c r="H398" s="139"/>
      <c r="I398" s="141"/>
      <c r="J398" s="142"/>
      <c r="K398" s="143"/>
      <c r="N398" s="106"/>
      <c r="O398" s="106"/>
      <c r="P398" s="106"/>
      <c r="Q398" s="106"/>
      <c r="R398" s="106"/>
      <c r="S398" s="106"/>
    </row>
    <row r="399" spans="1:19" s="105" customFormat="1">
      <c r="A399" s="106"/>
      <c r="B399" s="175" t="s">
        <v>20</v>
      </c>
      <c r="C399" s="139"/>
      <c r="D399" s="140"/>
      <c r="E399" s="139"/>
      <c r="F399" s="139"/>
      <c r="G399" s="140"/>
      <c r="H399" s="139"/>
      <c r="I399" s="141"/>
      <c r="J399" s="142"/>
      <c r="K399" s="143"/>
      <c r="N399" s="106"/>
      <c r="O399" s="106"/>
      <c r="P399" s="106"/>
      <c r="Q399" s="106"/>
      <c r="R399" s="106"/>
      <c r="S399" s="106"/>
    </row>
    <row r="400" spans="1:19" s="105" customFormat="1">
      <c r="A400" s="106"/>
      <c r="B400" s="194" t="s">
        <v>17</v>
      </c>
      <c r="C400" s="139"/>
      <c r="D400" s="140"/>
      <c r="E400" s="139"/>
      <c r="F400" s="139"/>
      <c r="G400" s="140"/>
      <c r="H400" s="139"/>
      <c r="I400" s="141"/>
      <c r="J400" s="142"/>
      <c r="K400" s="143"/>
      <c r="N400" s="106"/>
      <c r="O400" s="106"/>
      <c r="P400" s="106"/>
      <c r="Q400" s="106"/>
      <c r="R400" s="106"/>
      <c r="S400" s="106"/>
    </row>
    <row r="401" spans="1:19" s="105" customFormat="1">
      <c r="A401" s="106"/>
      <c r="B401" s="175" t="s">
        <v>44</v>
      </c>
      <c r="C401" s="139"/>
      <c r="D401" s="140"/>
      <c r="E401" s="139">
        <f>SUM(E402:E406)</f>
        <v>0.1079</v>
      </c>
      <c r="F401" s="139"/>
      <c r="G401" s="140"/>
      <c r="H401" s="139">
        <f>SUM(H402:H406)</f>
        <v>1.1000000000000001</v>
      </c>
      <c r="I401" s="141">
        <f t="shared" si="20"/>
        <v>0.99210000000000009</v>
      </c>
      <c r="J401" s="142">
        <f t="shared" si="21"/>
        <v>90.190909090909088</v>
      </c>
      <c r="K401" s="143"/>
      <c r="N401" s="106"/>
      <c r="O401" s="106"/>
      <c r="P401" s="106"/>
      <c r="Q401" s="106"/>
      <c r="R401" s="106"/>
      <c r="S401" s="106"/>
    </row>
    <row r="402" spans="1:19" s="105" customFormat="1" ht="37.5">
      <c r="A402" s="106"/>
      <c r="B402" s="194" t="s">
        <v>90</v>
      </c>
      <c r="C402" s="139"/>
      <c r="D402" s="140"/>
      <c r="E402" s="139">
        <v>0.1079</v>
      </c>
      <c r="F402" s="139"/>
      <c r="G402" s="140"/>
      <c r="H402" s="139">
        <v>0.8</v>
      </c>
      <c r="I402" s="141">
        <f t="shared" si="20"/>
        <v>0.69210000000000005</v>
      </c>
      <c r="J402" s="142">
        <f t="shared" si="21"/>
        <v>86.512500000000003</v>
      </c>
      <c r="K402" s="175" t="s">
        <v>520</v>
      </c>
      <c r="N402" s="106"/>
      <c r="O402" s="106"/>
      <c r="P402" s="106"/>
      <c r="Q402" s="106"/>
      <c r="R402" s="106"/>
      <c r="S402" s="106"/>
    </row>
    <row r="403" spans="1:19" s="105" customFormat="1">
      <c r="A403" s="106"/>
      <c r="B403" s="194"/>
      <c r="C403" s="139"/>
      <c r="D403" s="140"/>
      <c r="E403" s="139"/>
      <c r="F403" s="139"/>
      <c r="G403" s="140"/>
      <c r="H403" s="139"/>
      <c r="I403" s="141"/>
      <c r="J403" s="142"/>
      <c r="K403" s="143" t="s">
        <v>521</v>
      </c>
      <c r="L403" s="105">
        <v>500000</v>
      </c>
      <c r="N403" s="106"/>
      <c r="O403" s="106"/>
      <c r="P403" s="106"/>
      <c r="Q403" s="106"/>
      <c r="R403" s="106"/>
      <c r="S403" s="106"/>
    </row>
    <row r="404" spans="1:19" s="105" customFormat="1">
      <c r="A404" s="106"/>
      <c r="B404" s="194"/>
      <c r="C404" s="139"/>
      <c r="D404" s="140"/>
      <c r="E404" s="139"/>
      <c r="F404" s="139"/>
      <c r="G404" s="140"/>
      <c r="H404" s="139"/>
      <c r="I404" s="141"/>
      <c r="J404" s="142"/>
      <c r="K404" s="143" t="s">
        <v>564</v>
      </c>
      <c r="L404" s="105">
        <v>300000</v>
      </c>
      <c r="N404" s="106"/>
      <c r="O404" s="106"/>
      <c r="P404" s="106"/>
      <c r="Q404" s="106"/>
      <c r="R404" s="106"/>
      <c r="S404" s="106"/>
    </row>
    <row r="405" spans="1:19" s="105" customFormat="1">
      <c r="A405" s="106"/>
      <c r="B405" s="194"/>
      <c r="C405" s="139"/>
      <c r="D405" s="140"/>
      <c r="E405" s="139"/>
      <c r="F405" s="139"/>
      <c r="G405" s="140"/>
      <c r="H405" s="139"/>
      <c r="I405" s="141"/>
      <c r="J405" s="142"/>
      <c r="K405" s="143"/>
      <c r="N405" s="106"/>
      <c r="O405" s="106"/>
      <c r="P405" s="106"/>
      <c r="Q405" s="106"/>
      <c r="R405" s="106"/>
      <c r="S405" s="106"/>
    </row>
    <row r="406" spans="1:19" s="105" customFormat="1" ht="37.5">
      <c r="A406" s="106"/>
      <c r="B406" s="194" t="s">
        <v>91</v>
      </c>
      <c r="C406" s="139"/>
      <c r="D406" s="140"/>
      <c r="E406" s="139"/>
      <c r="F406" s="139"/>
      <c r="G406" s="140"/>
      <c r="H406" s="139">
        <v>0.3</v>
      </c>
      <c r="I406" s="141">
        <f t="shared" si="20"/>
        <v>0.3</v>
      </c>
      <c r="J406" s="142">
        <f t="shared" si="21"/>
        <v>100</v>
      </c>
      <c r="K406" s="175" t="s">
        <v>565</v>
      </c>
      <c r="L406" s="105">
        <v>300000</v>
      </c>
      <c r="N406" s="106"/>
      <c r="O406" s="106"/>
      <c r="P406" s="106"/>
      <c r="Q406" s="106"/>
      <c r="R406" s="106"/>
      <c r="S406" s="106"/>
    </row>
    <row r="407" spans="1:19" s="105" customFormat="1">
      <c r="A407" s="106"/>
      <c r="B407" s="175" t="s">
        <v>45</v>
      </c>
      <c r="C407" s="139"/>
      <c r="D407" s="140"/>
      <c r="E407" s="139">
        <f>SUM(E408:E412)</f>
        <v>0</v>
      </c>
      <c r="F407" s="139"/>
      <c r="G407" s="140"/>
      <c r="H407" s="139">
        <f>SUM(H408:H412)</f>
        <v>0</v>
      </c>
      <c r="I407" s="143"/>
      <c r="J407" s="143"/>
      <c r="K407" s="143"/>
      <c r="N407" s="106"/>
      <c r="O407" s="106"/>
      <c r="P407" s="106"/>
      <c r="Q407" s="106"/>
      <c r="R407" s="106"/>
      <c r="S407" s="106"/>
    </row>
    <row r="408" spans="1:19" s="105" customFormat="1">
      <c r="A408" s="106"/>
      <c r="B408" s="194" t="s">
        <v>106</v>
      </c>
      <c r="C408" s="139"/>
      <c r="D408" s="140"/>
      <c r="E408" s="139"/>
      <c r="F408" s="139"/>
      <c r="G408" s="140"/>
      <c r="H408" s="139"/>
      <c r="I408" s="141"/>
      <c r="J408" s="142"/>
      <c r="K408" s="143"/>
      <c r="N408" s="106"/>
      <c r="O408" s="106"/>
      <c r="P408" s="106"/>
      <c r="Q408" s="106"/>
      <c r="R408" s="106"/>
      <c r="S408" s="106"/>
    </row>
    <row r="409" spans="1:19" s="105" customFormat="1">
      <c r="A409" s="106"/>
      <c r="B409" s="194" t="s">
        <v>107</v>
      </c>
      <c r="C409" s="139"/>
      <c r="D409" s="140"/>
      <c r="E409" s="139"/>
      <c r="F409" s="139"/>
      <c r="G409" s="140"/>
      <c r="H409" s="139"/>
      <c r="I409" s="141"/>
      <c r="J409" s="142"/>
      <c r="K409" s="143"/>
      <c r="N409" s="106"/>
      <c r="O409" s="106"/>
      <c r="P409" s="106"/>
      <c r="Q409" s="106"/>
      <c r="R409" s="106"/>
      <c r="S409" s="106"/>
    </row>
    <row r="410" spans="1:19" s="105" customFormat="1">
      <c r="A410" s="106"/>
      <c r="B410" s="194" t="s">
        <v>108</v>
      </c>
      <c r="C410" s="139"/>
      <c r="D410" s="140"/>
      <c r="E410" s="139"/>
      <c r="F410" s="139"/>
      <c r="G410" s="140"/>
      <c r="H410" s="139"/>
      <c r="I410" s="141"/>
      <c r="J410" s="142"/>
      <c r="K410" s="143"/>
      <c r="N410" s="106"/>
      <c r="O410" s="106"/>
      <c r="P410" s="106"/>
      <c r="Q410" s="106"/>
      <c r="R410" s="106"/>
      <c r="S410" s="106"/>
    </row>
    <row r="411" spans="1:19" s="105" customFormat="1">
      <c r="A411" s="106"/>
      <c r="B411" s="194" t="s">
        <v>109</v>
      </c>
      <c r="C411" s="139"/>
      <c r="D411" s="140"/>
      <c r="E411" s="139"/>
      <c r="F411" s="139"/>
      <c r="G411" s="140"/>
      <c r="H411" s="139"/>
      <c r="I411" s="141"/>
      <c r="J411" s="142"/>
      <c r="K411" s="143"/>
      <c r="N411" s="106"/>
      <c r="O411" s="106"/>
      <c r="P411" s="106"/>
      <c r="Q411" s="106"/>
      <c r="R411" s="106"/>
      <c r="S411" s="106"/>
    </row>
    <row r="412" spans="1:19" s="105" customFormat="1">
      <c r="A412" s="106"/>
      <c r="B412" s="194" t="s">
        <v>111</v>
      </c>
      <c r="C412" s="139"/>
      <c r="D412" s="140"/>
      <c r="E412" s="139"/>
      <c r="F412" s="139"/>
      <c r="G412" s="140"/>
      <c r="H412" s="139"/>
      <c r="I412" s="141"/>
      <c r="J412" s="142"/>
      <c r="K412" s="143"/>
      <c r="N412" s="106"/>
      <c r="O412" s="106"/>
      <c r="P412" s="106"/>
      <c r="Q412" s="106"/>
      <c r="R412" s="106"/>
      <c r="S412" s="106"/>
    </row>
    <row r="413" spans="1:19" s="105" customFormat="1">
      <c r="A413" s="106"/>
      <c r="B413" s="175" t="s">
        <v>46</v>
      </c>
      <c r="C413" s="139"/>
      <c r="D413" s="140"/>
      <c r="E413" s="139">
        <f>+E414+E427</f>
        <v>0</v>
      </c>
      <c r="F413" s="139"/>
      <c r="G413" s="140"/>
      <c r="H413" s="139">
        <f>+H414+H427</f>
        <v>1.613</v>
      </c>
      <c r="I413" s="141">
        <f t="shared" si="20"/>
        <v>1.613</v>
      </c>
      <c r="J413" s="142">
        <f t="shared" si="21"/>
        <v>100.00000000000001</v>
      </c>
      <c r="K413" s="143"/>
      <c r="N413" s="106"/>
      <c r="O413" s="106"/>
      <c r="P413" s="106"/>
      <c r="Q413" s="106"/>
      <c r="R413" s="106"/>
      <c r="S413" s="106"/>
    </row>
    <row r="414" spans="1:19" s="105" customFormat="1">
      <c r="A414" s="106"/>
      <c r="B414" s="175" t="s">
        <v>47</v>
      </c>
      <c r="C414" s="139"/>
      <c r="D414" s="140"/>
      <c r="E414" s="139">
        <f>+E416</f>
        <v>0</v>
      </c>
      <c r="F414" s="139"/>
      <c r="G414" s="140"/>
      <c r="H414" s="139">
        <f>+H416</f>
        <v>1.613</v>
      </c>
      <c r="I414" s="141">
        <f t="shared" si="20"/>
        <v>1.613</v>
      </c>
      <c r="J414" s="142">
        <f t="shared" si="21"/>
        <v>100.00000000000001</v>
      </c>
      <c r="K414" s="143"/>
      <c r="N414" s="106"/>
      <c r="O414" s="106"/>
      <c r="P414" s="106"/>
      <c r="Q414" s="106"/>
      <c r="R414" s="106"/>
      <c r="S414" s="106"/>
    </row>
    <row r="415" spans="1:19" s="105" customFormat="1">
      <c r="A415" s="106"/>
      <c r="B415" s="175" t="s">
        <v>19</v>
      </c>
      <c r="C415" s="139"/>
      <c r="D415" s="140"/>
      <c r="E415" s="139"/>
      <c r="F415" s="139"/>
      <c r="G415" s="140"/>
      <c r="H415" s="139"/>
      <c r="I415" s="139"/>
      <c r="J415" s="139"/>
      <c r="K415" s="143"/>
      <c r="N415" s="106"/>
      <c r="O415" s="106"/>
      <c r="P415" s="106"/>
      <c r="Q415" s="106"/>
      <c r="R415" s="106"/>
      <c r="S415" s="106"/>
    </row>
    <row r="416" spans="1:19" s="105" customFormat="1">
      <c r="A416" s="106"/>
      <c r="B416" s="175" t="s">
        <v>110</v>
      </c>
      <c r="C416" s="139"/>
      <c r="D416" s="140"/>
      <c r="E416" s="139"/>
      <c r="F416" s="139"/>
      <c r="G416" s="140"/>
      <c r="H416" s="139">
        <f>+H417+H418</f>
        <v>1.613</v>
      </c>
      <c r="I416" s="141">
        <f t="shared" si="20"/>
        <v>1.613</v>
      </c>
      <c r="J416" s="142">
        <f t="shared" si="21"/>
        <v>100.00000000000001</v>
      </c>
      <c r="K416" s="143"/>
      <c r="N416" s="106"/>
      <c r="O416" s="106"/>
      <c r="P416" s="106"/>
      <c r="Q416" s="106"/>
      <c r="R416" s="106"/>
      <c r="S416" s="106"/>
    </row>
    <row r="417" spans="1:19" s="105" customFormat="1" ht="55.5" customHeight="1">
      <c r="A417" s="106"/>
      <c r="B417" s="194" t="s">
        <v>509</v>
      </c>
      <c r="C417" s="139"/>
      <c r="D417" s="140"/>
      <c r="E417" s="139"/>
      <c r="F417" s="139"/>
      <c r="G417" s="140"/>
      <c r="H417" s="139">
        <v>1</v>
      </c>
      <c r="I417" s="141">
        <f t="shared" si="20"/>
        <v>1</v>
      </c>
      <c r="J417" s="142">
        <f t="shared" si="21"/>
        <v>100</v>
      </c>
      <c r="K417" s="143" t="s">
        <v>566</v>
      </c>
      <c r="N417" s="106"/>
      <c r="O417" s="106"/>
      <c r="P417" s="106"/>
      <c r="Q417" s="106"/>
      <c r="R417" s="106"/>
      <c r="S417" s="106"/>
    </row>
    <row r="418" spans="1:19" s="105" customFormat="1" ht="109.5" customHeight="1">
      <c r="A418" s="106"/>
      <c r="B418" s="194" t="s">
        <v>511</v>
      </c>
      <c r="C418" s="139"/>
      <c r="D418" s="140"/>
      <c r="E418" s="139"/>
      <c r="F418" s="139"/>
      <c r="G418" s="140"/>
      <c r="H418" s="139">
        <v>0.61299999999999999</v>
      </c>
      <c r="I418" s="141">
        <f t="shared" si="20"/>
        <v>0.61299999999999999</v>
      </c>
      <c r="J418" s="142">
        <f t="shared" si="21"/>
        <v>100</v>
      </c>
      <c r="K418" s="175" t="s">
        <v>510</v>
      </c>
      <c r="N418" s="106"/>
      <c r="O418" s="106"/>
      <c r="P418" s="106"/>
      <c r="Q418" s="106"/>
      <c r="R418" s="106"/>
      <c r="S418" s="106"/>
    </row>
    <row r="419" spans="1:19" s="105" customFormat="1">
      <c r="A419" s="106"/>
      <c r="B419" s="194" t="s">
        <v>17</v>
      </c>
      <c r="C419" s="139"/>
      <c r="D419" s="140"/>
      <c r="E419" s="139"/>
      <c r="F419" s="139"/>
      <c r="G419" s="140"/>
      <c r="H419" s="139"/>
      <c r="I419" s="141"/>
      <c r="J419" s="142"/>
      <c r="K419" s="143"/>
      <c r="N419" s="106"/>
      <c r="O419" s="106"/>
      <c r="P419" s="106"/>
      <c r="Q419" s="106"/>
      <c r="R419" s="106"/>
      <c r="S419" s="106"/>
    </row>
    <row r="420" spans="1:19" s="105" customFormat="1">
      <c r="A420" s="106"/>
      <c r="B420" s="194" t="s">
        <v>18</v>
      </c>
      <c r="C420" s="139"/>
      <c r="D420" s="140"/>
      <c r="E420" s="139"/>
      <c r="F420" s="139"/>
      <c r="G420" s="140"/>
      <c r="H420" s="139"/>
      <c r="I420" s="141"/>
      <c r="J420" s="142"/>
      <c r="K420" s="143"/>
      <c r="N420" s="106"/>
      <c r="O420" s="106"/>
      <c r="P420" s="106"/>
      <c r="Q420" s="106"/>
      <c r="R420" s="106"/>
      <c r="S420" s="106"/>
    </row>
    <row r="421" spans="1:19" s="105" customFormat="1">
      <c r="A421" s="106"/>
      <c r="B421" s="175" t="s">
        <v>22</v>
      </c>
      <c r="C421" s="139"/>
      <c r="D421" s="140"/>
      <c r="E421" s="139"/>
      <c r="F421" s="139"/>
      <c r="G421" s="140"/>
      <c r="H421" s="139"/>
      <c r="I421" s="141"/>
      <c r="J421" s="142"/>
      <c r="K421" s="143"/>
      <c r="N421" s="106"/>
      <c r="O421" s="106"/>
      <c r="P421" s="106"/>
      <c r="Q421" s="106"/>
      <c r="R421" s="106"/>
      <c r="S421" s="106"/>
    </row>
    <row r="422" spans="1:19" s="105" customFormat="1">
      <c r="A422" s="106"/>
      <c r="B422" s="175" t="s">
        <v>48</v>
      </c>
      <c r="C422" s="139"/>
      <c r="D422" s="140"/>
      <c r="E422" s="139"/>
      <c r="F422" s="139"/>
      <c r="G422" s="140"/>
      <c r="H422" s="139"/>
      <c r="I422" s="141"/>
      <c r="J422" s="142"/>
      <c r="K422" s="143"/>
      <c r="N422" s="106"/>
      <c r="O422" s="106"/>
      <c r="P422" s="106"/>
      <c r="Q422" s="106"/>
      <c r="R422" s="106"/>
      <c r="S422" s="106"/>
    </row>
    <row r="423" spans="1:19" s="105" customFormat="1">
      <c r="A423" s="106"/>
      <c r="B423" s="194" t="s">
        <v>23</v>
      </c>
      <c r="C423" s="139"/>
      <c r="D423" s="140"/>
      <c r="E423" s="139"/>
      <c r="F423" s="139"/>
      <c r="G423" s="140"/>
      <c r="H423" s="139"/>
      <c r="I423" s="141"/>
      <c r="J423" s="142"/>
      <c r="K423" s="143"/>
      <c r="N423" s="106"/>
      <c r="O423" s="106"/>
      <c r="P423" s="106"/>
      <c r="Q423" s="106"/>
      <c r="R423" s="106"/>
      <c r="S423" s="106"/>
    </row>
    <row r="424" spans="1:19" s="105" customFormat="1">
      <c r="A424" s="106"/>
      <c r="B424" s="175" t="s">
        <v>20</v>
      </c>
      <c r="C424" s="139"/>
      <c r="D424" s="140"/>
      <c r="E424" s="139"/>
      <c r="F424" s="139"/>
      <c r="G424" s="140"/>
      <c r="H424" s="139"/>
      <c r="I424" s="141"/>
      <c r="J424" s="142"/>
      <c r="K424" s="143"/>
      <c r="N424" s="106"/>
      <c r="O424" s="106"/>
      <c r="P424" s="106"/>
      <c r="Q424" s="106"/>
      <c r="R424" s="106"/>
      <c r="S424" s="106"/>
    </row>
    <row r="425" spans="1:19" s="105" customFormat="1">
      <c r="A425" s="106"/>
      <c r="B425" s="175" t="s">
        <v>48</v>
      </c>
      <c r="C425" s="139"/>
      <c r="D425" s="140"/>
      <c r="E425" s="139"/>
      <c r="F425" s="139"/>
      <c r="G425" s="140"/>
      <c r="H425" s="139"/>
      <c r="I425" s="141"/>
      <c r="J425" s="142"/>
      <c r="K425" s="143"/>
      <c r="N425" s="106"/>
      <c r="O425" s="106"/>
      <c r="P425" s="106"/>
      <c r="Q425" s="106"/>
      <c r="R425" s="106"/>
      <c r="S425" s="106"/>
    </row>
    <row r="426" spans="1:19" s="105" customFormat="1">
      <c r="A426" s="106"/>
      <c r="B426" s="194" t="s">
        <v>23</v>
      </c>
      <c r="C426" s="139"/>
      <c r="D426" s="140"/>
      <c r="E426" s="139"/>
      <c r="F426" s="139"/>
      <c r="G426" s="140"/>
      <c r="H426" s="139"/>
      <c r="I426" s="141"/>
      <c r="J426" s="142"/>
      <c r="K426" s="143"/>
      <c r="N426" s="106"/>
      <c r="O426" s="106"/>
      <c r="P426" s="106"/>
      <c r="Q426" s="106"/>
      <c r="R426" s="106"/>
      <c r="S426" s="106"/>
    </row>
    <row r="427" spans="1:19" s="105" customFormat="1">
      <c r="A427" s="106"/>
      <c r="B427" s="175" t="s">
        <v>49</v>
      </c>
      <c r="C427" s="139"/>
      <c r="D427" s="140"/>
      <c r="E427" s="139">
        <f>+E429</f>
        <v>0</v>
      </c>
      <c r="F427" s="139"/>
      <c r="G427" s="140"/>
      <c r="H427" s="139">
        <f>+H429</f>
        <v>0</v>
      </c>
      <c r="I427" s="141"/>
      <c r="J427" s="142"/>
      <c r="K427" s="143"/>
      <c r="N427" s="106"/>
      <c r="O427" s="106"/>
      <c r="P427" s="106"/>
      <c r="Q427" s="106"/>
      <c r="R427" s="106"/>
      <c r="S427" s="106"/>
    </row>
    <row r="428" spans="1:19" s="105" customFormat="1">
      <c r="A428" s="106"/>
      <c r="B428" s="175" t="s">
        <v>19</v>
      </c>
      <c r="C428" s="139"/>
      <c r="D428" s="140"/>
      <c r="E428" s="139"/>
      <c r="F428" s="139"/>
      <c r="G428" s="140"/>
      <c r="H428" s="139"/>
      <c r="I428" s="141"/>
      <c r="J428" s="142"/>
      <c r="K428" s="143"/>
      <c r="N428" s="106"/>
      <c r="O428" s="106"/>
      <c r="P428" s="106"/>
      <c r="Q428" s="106"/>
      <c r="R428" s="106"/>
      <c r="S428" s="106"/>
    </row>
    <row r="429" spans="1:19" s="105" customFormat="1">
      <c r="A429" s="106"/>
      <c r="B429" s="175" t="s">
        <v>50</v>
      </c>
      <c r="C429" s="139"/>
      <c r="D429" s="140"/>
      <c r="E429" s="139"/>
      <c r="F429" s="139"/>
      <c r="G429" s="140"/>
      <c r="H429" s="139">
        <f>+H430+H431</f>
        <v>0</v>
      </c>
      <c r="I429" s="141"/>
      <c r="J429" s="142"/>
      <c r="K429" s="143"/>
      <c r="N429" s="106"/>
      <c r="O429" s="106"/>
      <c r="P429" s="106"/>
      <c r="Q429" s="106"/>
      <c r="R429" s="106"/>
      <c r="S429" s="106"/>
    </row>
    <row r="430" spans="1:19" s="105" customFormat="1" ht="24.75" customHeight="1">
      <c r="A430" s="106"/>
      <c r="B430" s="194"/>
      <c r="C430" s="139"/>
      <c r="D430" s="140"/>
      <c r="E430" s="139"/>
      <c r="F430" s="139"/>
      <c r="G430" s="140"/>
      <c r="H430" s="139"/>
      <c r="I430" s="141"/>
      <c r="J430" s="142"/>
      <c r="K430" s="143"/>
      <c r="N430" s="106"/>
      <c r="O430" s="106"/>
      <c r="P430" s="106"/>
      <c r="Q430" s="106"/>
      <c r="R430" s="106"/>
      <c r="S430" s="106"/>
    </row>
    <row r="431" spans="1:19" s="105" customFormat="1" ht="24" customHeight="1">
      <c r="A431" s="106"/>
      <c r="B431" s="194"/>
      <c r="C431" s="139"/>
      <c r="D431" s="140"/>
      <c r="E431" s="139"/>
      <c r="F431" s="139"/>
      <c r="G431" s="140"/>
      <c r="H431" s="139"/>
      <c r="I431" s="141"/>
      <c r="J431" s="142"/>
      <c r="K431" s="175"/>
      <c r="N431" s="106"/>
      <c r="O431" s="106"/>
      <c r="P431" s="106"/>
      <c r="Q431" s="106"/>
      <c r="R431" s="106"/>
      <c r="S431" s="106"/>
    </row>
    <row r="432" spans="1:19" s="105" customFormat="1">
      <c r="A432" s="106"/>
      <c r="B432" s="175" t="s">
        <v>22</v>
      </c>
      <c r="C432" s="139"/>
      <c r="D432" s="140"/>
      <c r="E432" s="139"/>
      <c r="F432" s="139"/>
      <c r="G432" s="140"/>
      <c r="H432" s="139"/>
      <c r="I432" s="141"/>
      <c r="J432" s="142"/>
      <c r="K432" s="143"/>
      <c r="N432" s="106"/>
      <c r="O432" s="106"/>
      <c r="P432" s="106"/>
      <c r="Q432" s="106"/>
      <c r="R432" s="106"/>
      <c r="S432" s="106"/>
    </row>
    <row r="433" spans="1:19" s="105" customFormat="1">
      <c r="A433" s="106"/>
      <c r="B433" s="175" t="s">
        <v>51</v>
      </c>
      <c r="C433" s="139"/>
      <c r="D433" s="140"/>
      <c r="E433" s="139"/>
      <c r="F433" s="139"/>
      <c r="G433" s="140"/>
      <c r="H433" s="139"/>
      <c r="I433" s="141"/>
      <c r="J433" s="142"/>
      <c r="K433" s="143"/>
      <c r="N433" s="106"/>
      <c r="O433" s="106"/>
      <c r="P433" s="106"/>
      <c r="Q433" s="106"/>
      <c r="R433" s="106"/>
      <c r="S433" s="106"/>
    </row>
    <row r="434" spans="1:19" s="105" customFormat="1">
      <c r="A434" s="106"/>
      <c r="B434" s="194" t="s">
        <v>23</v>
      </c>
      <c r="C434" s="139"/>
      <c r="D434" s="140"/>
      <c r="E434" s="139"/>
      <c r="F434" s="139"/>
      <c r="G434" s="140"/>
      <c r="H434" s="139"/>
      <c r="I434" s="141"/>
      <c r="J434" s="142"/>
      <c r="K434" s="143"/>
      <c r="N434" s="106"/>
      <c r="O434" s="106"/>
      <c r="P434" s="106"/>
      <c r="Q434" s="106"/>
      <c r="R434" s="106"/>
      <c r="S434" s="106"/>
    </row>
    <row r="435" spans="1:19" s="105" customFormat="1">
      <c r="A435" s="106"/>
      <c r="B435" s="175" t="s">
        <v>20</v>
      </c>
      <c r="C435" s="139"/>
      <c r="D435" s="140"/>
      <c r="E435" s="139"/>
      <c r="F435" s="139"/>
      <c r="G435" s="140"/>
      <c r="H435" s="139"/>
      <c r="I435" s="141"/>
      <c r="J435" s="142"/>
      <c r="K435" s="143"/>
      <c r="N435" s="106"/>
      <c r="O435" s="106"/>
      <c r="P435" s="106"/>
      <c r="Q435" s="106"/>
      <c r="R435" s="106"/>
      <c r="S435" s="106"/>
    </row>
    <row r="436" spans="1:19" s="105" customFormat="1">
      <c r="A436" s="106"/>
      <c r="B436" s="175" t="s">
        <v>51</v>
      </c>
      <c r="C436" s="139"/>
      <c r="D436" s="140"/>
      <c r="E436" s="139"/>
      <c r="F436" s="139"/>
      <c r="G436" s="140"/>
      <c r="H436" s="139"/>
      <c r="I436" s="141"/>
      <c r="J436" s="142"/>
      <c r="K436" s="143"/>
      <c r="N436" s="106"/>
      <c r="O436" s="106"/>
      <c r="P436" s="106"/>
      <c r="Q436" s="106"/>
      <c r="R436" s="106"/>
      <c r="S436" s="106"/>
    </row>
    <row r="437" spans="1:19" s="105" customFormat="1">
      <c r="A437" s="106"/>
      <c r="B437" s="194" t="s">
        <v>23</v>
      </c>
      <c r="C437" s="139"/>
      <c r="D437" s="140"/>
      <c r="E437" s="139"/>
      <c r="F437" s="139"/>
      <c r="G437" s="140"/>
      <c r="H437" s="139"/>
      <c r="I437" s="141"/>
      <c r="J437" s="142"/>
      <c r="K437" s="143"/>
      <c r="N437" s="106"/>
      <c r="O437" s="106"/>
      <c r="P437" s="106"/>
      <c r="Q437" s="106"/>
      <c r="R437" s="106"/>
      <c r="S437" s="106"/>
    </row>
    <row r="438" spans="1:19" s="105" customFormat="1">
      <c r="A438" s="106"/>
      <c r="B438" s="175" t="s">
        <v>53</v>
      </c>
      <c r="C438" s="139"/>
      <c r="D438" s="140"/>
      <c r="E438" s="139">
        <f>SUM(E439:E442)</f>
        <v>0.32</v>
      </c>
      <c r="F438" s="139"/>
      <c r="G438" s="140"/>
      <c r="H438" s="139">
        <f>SUM(H439:H442)</f>
        <v>0</v>
      </c>
      <c r="I438" s="141">
        <f t="shared" si="20"/>
        <v>-0.32</v>
      </c>
      <c r="J438" s="142">
        <v>0</v>
      </c>
      <c r="K438" s="143"/>
      <c r="N438" s="106"/>
      <c r="O438" s="106"/>
      <c r="P438" s="106"/>
      <c r="Q438" s="106"/>
      <c r="R438" s="106"/>
      <c r="S438" s="106"/>
    </row>
    <row r="439" spans="1:19" s="105" customFormat="1">
      <c r="A439" s="106"/>
      <c r="B439" s="175" t="s">
        <v>52</v>
      </c>
      <c r="C439" s="139"/>
      <c r="D439" s="140"/>
      <c r="E439" s="139"/>
      <c r="F439" s="139"/>
      <c r="G439" s="140"/>
      <c r="H439" s="139"/>
      <c r="I439" s="141"/>
      <c r="J439" s="142"/>
      <c r="K439" s="143"/>
      <c r="N439" s="106"/>
      <c r="O439" s="106"/>
      <c r="P439" s="106"/>
      <c r="Q439" s="106"/>
      <c r="R439" s="106"/>
      <c r="S439" s="106"/>
    </row>
    <row r="440" spans="1:19" s="105" customFormat="1" ht="37.5">
      <c r="A440" s="106"/>
      <c r="B440" s="175" t="s">
        <v>54</v>
      </c>
      <c r="C440" s="139"/>
      <c r="D440" s="140"/>
      <c r="E440" s="139"/>
      <c r="F440" s="139"/>
      <c r="G440" s="140"/>
      <c r="H440" s="139"/>
      <c r="I440" s="141"/>
      <c r="J440" s="142"/>
      <c r="K440" s="143"/>
      <c r="N440" s="106"/>
      <c r="O440" s="106"/>
      <c r="P440" s="106"/>
      <c r="Q440" s="106"/>
      <c r="R440" s="106"/>
      <c r="S440" s="106"/>
    </row>
    <row r="441" spans="1:19" s="105" customFormat="1">
      <c r="A441" s="106"/>
      <c r="B441" s="175" t="s">
        <v>55</v>
      </c>
      <c r="C441" s="139"/>
      <c r="D441" s="140"/>
      <c r="E441" s="139"/>
      <c r="F441" s="139"/>
      <c r="G441" s="140"/>
      <c r="H441" s="139"/>
      <c r="I441" s="141"/>
      <c r="J441" s="142"/>
      <c r="K441" s="143"/>
      <c r="N441" s="106"/>
      <c r="O441" s="106"/>
      <c r="P441" s="106"/>
      <c r="Q441" s="106"/>
      <c r="R441" s="106"/>
      <c r="S441" s="106"/>
    </row>
    <row r="442" spans="1:19" s="105" customFormat="1">
      <c r="A442" s="106"/>
      <c r="B442" s="175" t="s">
        <v>121</v>
      </c>
      <c r="C442" s="139"/>
      <c r="D442" s="140"/>
      <c r="E442" s="139">
        <v>0.32</v>
      </c>
      <c r="F442" s="139"/>
      <c r="G442" s="140"/>
      <c r="H442" s="139"/>
      <c r="I442" s="141">
        <f t="shared" si="20"/>
        <v>-0.32</v>
      </c>
      <c r="J442" s="142">
        <v>0</v>
      </c>
      <c r="K442" s="143"/>
      <c r="N442" s="106"/>
      <c r="O442" s="106"/>
      <c r="P442" s="106"/>
      <c r="Q442" s="106"/>
      <c r="R442" s="106"/>
      <c r="S442" s="106"/>
    </row>
    <row r="443" spans="1:19">
      <c r="B443" s="175" t="s">
        <v>56</v>
      </c>
      <c r="C443" s="139"/>
      <c r="D443" s="140"/>
      <c r="E443" s="139">
        <f>SUM(E444:E455)</f>
        <v>30.279</v>
      </c>
      <c r="F443" s="139"/>
      <c r="G443" s="140"/>
      <c r="H443" s="139">
        <f>SUM(H444:H455)</f>
        <v>37.555599999999998</v>
      </c>
      <c r="I443" s="141">
        <f t="shared" si="20"/>
        <v>7.2765999999999984</v>
      </c>
      <c r="J443" s="142">
        <f t="shared" si="21"/>
        <v>19.375539200545322</v>
      </c>
      <c r="K443" s="143"/>
    </row>
    <row r="444" spans="1:19" ht="37.5">
      <c r="B444" s="175" t="s">
        <v>122</v>
      </c>
      <c r="C444" s="139"/>
      <c r="D444" s="140"/>
      <c r="E444" s="139">
        <v>14.279</v>
      </c>
      <c r="F444" s="139"/>
      <c r="G444" s="140"/>
      <c r="H444" s="139">
        <v>22.986999999999998</v>
      </c>
      <c r="I444" s="141">
        <f t="shared" si="20"/>
        <v>8.7079999999999984</v>
      </c>
      <c r="J444" s="142">
        <f t="shared" si="21"/>
        <v>37.882281289424455</v>
      </c>
      <c r="K444" s="175" t="s">
        <v>501</v>
      </c>
    </row>
    <row r="445" spans="1:19">
      <c r="B445" s="175"/>
      <c r="C445" s="139"/>
      <c r="D445" s="140"/>
      <c r="E445" s="139"/>
      <c r="F445" s="139"/>
      <c r="G445" s="140"/>
      <c r="H445" s="139"/>
      <c r="I445" s="141"/>
      <c r="J445" s="142"/>
      <c r="K445" s="175" t="s">
        <v>504</v>
      </c>
    </row>
    <row r="446" spans="1:19">
      <c r="B446" s="175"/>
      <c r="C446" s="139"/>
      <c r="D446" s="140"/>
      <c r="E446" s="139"/>
      <c r="F446" s="139"/>
      <c r="G446" s="140"/>
      <c r="H446" s="139"/>
      <c r="I446" s="141"/>
      <c r="J446" s="142"/>
      <c r="K446" s="175" t="s">
        <v>505</v>
      </c>
    </row>
    <row r="447" spans="1:19" ht="37.5">
      <c r="B447" s="175"/>
      <c r="C447" s="139"/>
      <c r="D447" s="140"/>
      <c r="E447" s="139"/>
      <c r="F447" s="139"/>
      <c r="G447" s="140"/>
      <c r="H447" s="139"/>
      <c r="I447" s="141"/>
      <c r="J447" s="142"/>
      <c r="K447" s="175" t="s">
        <v>506</v>
      </c>
    </row>
    <row r="448" spans="1:19" ht="56.25">
      <c r="B448" s="175"/>
      <c r="C448" s="139"/>
      <c r="D448" s="140"/>
      <c r="E448" s="139"/>
      <c r="F448" s="139"/>
      <c r="G448" s="140"/>
      <c r="H448" s="139"/>
      <c r="I448" s="141"/>
      <c r="J448" s="142"/>
      <c r="K448" s="175" t="s">
        <v>507</v>
      </c>
    </row>
    <row r="449" spans="1:19">
      <c r="B449" s="175"/>
      <c r="C449" s="139"/>
      <c r="D449" s="140"/>
      <c r="E449" s="139"/>
      <c r="F449" s="139"/>
      <c r="G449" s="140"/>
      <c r="H449" s="139"/>
      <c r="I449" s="141"/>
      <c r="J449" s="142"/>
      <c r="K449" s="175" t="s">
        <v>508</v>
      </c>
    </row>
    <row r="450" spans="1:19" ht="37.5">
      <c r="B450" s="175" t="s">
        <v>123</v>
      </c>
      <c r="C450" s="139"/>
      <c r="D450" s="140"/>
      <c r="E450" s="139">
        <v>2</v>
      </c>
      <c r="F450" s="139"/>
      <c r="G450" s="140"/>
      <c r="H450" s="139"/>
      <c r="I450" s="141">
        <f t="shared" si="20"/>
        <v>-2</v>
      </c>
      <c r="J450" s="142">
        <v>0</v>
      </c>
      <c r="K450" s="143"/>
    </row>
    <row r="451" spans="1:19" ht="75">
      <c r="B451" s="175" t="s">
        <v>124</v>
      </c>
      <c r="C451" s="139"/>
      <c r="D451" s="140"/>
      <c r="E451" s="139">
        <v>14</v>
      </c>
      <c r="F451" s="139"/>
      <c r="G451" s="140"/>
      <c r="H451" s="139">
        <v>14.5686</v>
      </c>
      <c r="I451" s="141">
        <f t="shared" si="20"/>
        <v>0.56859999999999999</v>
      </c>
      <c r="J451" s="142">
        <f t="shared" si="21"/>
        <v>3.9029144873220489</v>
      </c>
      <c r="K451" s="175" t="s">
        <v>500</v>
      </c>
      <c r="M451" s="106"/>
    </row>
    <row r="452" spans="1:19" ht="37.5">
      <c r="B452" s="175"/>
      <c r="C452" s="139"/>
      <c r="D452" s="140"/>
      <c r="E452" s="139"/>
      <c r="F452" s="139"/>
      <c r="G452" s="140"/>
      <c r="H452" s="139"/>
      <c r="I452" s="141"/>
      <c r="J452" s="142"/>
      <c r="K452" s="175" t="s">
        <v>502</v>
      </c>
    </row>
    <row r="453" spans="1:19" ht="37.5">
      <c r="B453" s="175"/>
      <c r="C453" s="139"/>
      <c r="D453" s="140"/>
      <c r="E453" s="139"/>
      <c r="F453" s="139"/>
      <c r="G453" s="140"/>
      <c r="H453" s="139"/>
      <c r="I453" s="141"/>
      <c r="J453" s="142"/>
      <c r="K453" s="175" t="s">
        <v>503</v>
      </c>
    </row>
    <row r="454" spans="1:19">
      <c r="B454" s="175"/>
      <c r="C454" s="139"/>
      <c r="D454" s="140"/>
      <c r="E454" s="139"/>
      <c r="F454" s="139"/>
      <c r="G454" s="140"/>
      <c r="H454" s="139"/>
      <c r="I454" s="141"/>
      <c r="J454" s="142"/>
      <c r="K454" s="175"/>
    </row>
    <row r="455" spans="1:19">
      <c r="B455" s="175"/>
      <c r="C455" s="139"/>
      <c r="D455" s="140"/>
      <c r="E455" s="139"/>
      <c r="F455" s="139"/>
      <c r="G455" s="140"/>
      <c r="H455" s="139"/>
      <c r="I455" s="141"/>
      <c r="J455" s="142"/>
      <c r="K455" s="143"/>
    </row>
    <row r="456" spans="1:19" ht="27.75" customHeight="1">
      <c r="B456" s="286" t="s">
        <v>128</v>
      </c>
      <c r="C456" s="139"/>
      <c r="D456" s="140"/>
      <c r="E456" s="139">
        <f>+E458+E530+E553+E558</f>
        <v>33.637100000000004</v>
      </c>
      <c r="F456" s="139"/>
      <c r="G456" s="140"/>
      <c r="H456" s="139">
        <f>+H458+H530+H553+H558</f>
        <v>67.393299999999982</v>
      </c>
      <c r="I456" s="141">
        <f t="shared" ref="I456:I516" si="22">+H456-E456</f>
        <v>33.756199999999978</v>
      </c>
      <c r="J456" s="142">
        <f t="shared" ref="J456:J516" si="23">+I456*100/H456</f>
        <v>50.088361899476638</v>
      </c>
      <c r="K456" s="143"/>
      <c r="L456" s="324"/>
    </row>
    <row r="457" spans="1:19" ht="50.25" customHeight="1">
      <c r="B457" s="325" t="s">
        <v>82</v>
      </c>
      <c r="C457" s="139"/>
      <c r="D457" s="140"/>
      <c r="E457" s="139"/>
      <c r="F457" s="139"/>
      <c r="G457" s="140"/>
      <c r="H457" s="139"/>
      <c r="I457" s="141"/>
      <c r="J457" s="142"/>
      <c r="K457" s="232"/>
      <c r="L457" s="326"/>
    </row>
    <row r="458" spans="1:19">
      <c r="B458" s="175" t="s">
        <v>38</v>
      </c>
      <c r="C458" s="139"/>
      <c r="D458" s="140"/>
      <c r="E458" s="139">
        <f>+E459+E527</f>
        <v>32.637100000000004</v>
      </c>
      <c r="F458" s="139"/>
      <c r="G458" s="140"/>
      <c r="H458" s="139">
        <f>+H459+H527</f>
        <v>62.643299999999989</v>
      </c>
      <c r="I458" s="141">
        <f t="shared" si="22"/>
        <v>30.006199999999986</v>
      </c>
      <c r="J458" s="142">
        <f t="shared" si="23"/>
        <v>47.900094662956761</v>
      </c>
      <c r="K458" s="327"/>
    </row>
    <row r="459" spans="1:19" s="105" customFormat="1">
      <c r="A459" s="106"/>
      <c r="B459" s="175" t="s">
        <v>41</v>
      </c>
      <c r="C459" s="139"/>
      <c r="D459" s="140"/>
      <c r="E459" s="139">
        <f>+E460+E470+E515</f>
        <v>32.006300000000003</v>
      </c>
      <c r="F459" s="139"/>
      <c r="G459" s="140"/>
      <c r="H459" s="139">
        <f>+H460+H470+H515</f>
        <v>61.959299999999992</v>
      </c>
      <c r="I459" s="141">
        <f t="shared" si="22"/>
        <v>29.952999999999989</v>
      </c>
      <c r="J459" s="142">
        <f t="shared" si="23"/>
        <v>48.343025179432288</v>
      </c>
      <c r="K459" s="143"/>
      <c r="N459" s="106"/>
      <c r="O459" s="106"/>
      <c r="P459" s="106"/>
      <c r="Q459" s="106"/>
      <c r="R459" s="106"/>
      <c r="S459" s="106"/>
    </row>
    <row r="460" spans="1:19" s="105" customFormat="1">
      <c r="A460" s="106"/>
      <c r="B460" s="175" t="s">
        <v>42</v>
      </c>
      <c r="C460" s="139"/>
      <c r="D460" s="140"/>
      <c r="E460" s="139">
        <f>+E461+E464</f>
        <v>0</v>
      </c>
      <c r="F460" s="139"/>
      <c r="G460" s="140"/>
      <c r="H460" s="139">
        <f>SUM(H461:H469)</f>
        <v>9.3056000000000001</v>
      </c>
      <c r="I460" s="141">
        <f t="shared" si="22"/>
        <v>9.3056000000000001</v>
      </c>
      <c r="J460" s="142">
        <f t="shared" si="23"/>
        <v>100</v>
      </c>
      <c r="K460" s="143"/>
      <c r="N460" s="106"/>
      <c r="O460" s="106"/>
      <c r="P460" s="106"/>
      <c r="Q460" s="106"/>
      <c r="R460" s="106"/>
      <c r="S460" s="106"/>
    </row>
    <row r="461" spans="1:19" s="105" customFormat="1" ht="75">
      <c r="A461" s="106"/>
      <c r="B461" s="194" t="s">
        <v>210</v>
      </c>
      <c r="C461" s="139"/>
      <c r="D461" s="140"/>
      <c r="E461" s="139"/>
      <c r="F461" s="139"/>
      <c r="G461" s="140"/>
      <c r="H461" s="139">
        <f>0.144+0.085</f>
        <v>0.22899999999999998</v>
      </c>
      <c r="I461" s="141">
        <f t="shared" si="22"/>
        <v>0.22899999999999998</v>
      </c>
      <c r="J461" s="142">
        <f t="shared" si="23"/>
        <v>100</v>
      </c>
      <c r="K461" s="175" t="s">
        <v>512</v>
      </c>
      <c r="L461" s="105">
        <f>SUM(L462)</f>
        <v>144000</v>
      </c>
      <c r="N461" s="106"/>
      <c r="O461" s="106"/>
      <c r="P461" s="106"/>
      <c r="Q461" s="106"/>
      <c r="R461" s="106"/>
      <c r="S461" s="106"/>
    </row>
    <row r="462" spans="1:19" s="105" customFormat="1" ht="93.75">
      <c r="A462" s="106"/>
      <c r="B462" s="194"/>
      <c r="C462" s="139"/>
      <c r="D462" s="140"/>
      <c r="E462" s="139"/>
      <c r="F462" s="139"/>
      <c r="G462" s="140"/>
      <c r="H462" s="139"/>
      <c r="I462" s="141"/>
      <c r="J462" s="142"/>
      <c r="K462" s="328" t="s">
        <v>569</v>
      </c>
      <c r="L462" s="322">
        <v>144000</v>
      </c>
      <c r="N462" s="106"/>
      <c r="O462" s="106"/>
      <c r="P462" s="106"/>
      <c r="Q462" s="106"/>
      <c r="R462" s="106"/>
      <c r="S462" s="106"/>
    </row>
    <row r="463" spans="1:19" s="105" customFormat="1">
      <c r="A463" s="106"/>
      <c r="B463" s="194"/>
      <c r="C463" s="139"/>
      <c r="D463" s="140"/>
      <c r="E463" s="139"/>
      <c r="F463" s="139"/>
      <c r="G463" s="140"/>
      <c r="H463" s="139"/>
      <c r="I463" s="141"/>
      <c r="J463" s="142"/>
      <c r="K463" s="175"/>
      <c r="N463" s="106"/>
      <c r="O463" s="106"/>
      <c r="P463" s="106"/>
      <c r="Q463" s="106"/>
      <c r="R463" s="106"/>
      <c r="S463" s="106"/>
    </row>
    <row r="464" spans="1:19" s="105" customFormat="1">
      <c r="A464" s="106"/>
      <c r="B464" s="194" t="s">
        <v>568</v>
      </c>
      <c r="C464" s="139"/>
      <c r="D464" s="140"/>
      <c r="E464" s="139"/>
      <c r="F464" s="139"/>
      <c r="G464" s="140"/>
      <c r="H464" s="139">
        <v>9.0541</v>
      </c>
      <c r="I464" s="141">
        <f t="shared" si="22"/>
        <v>9.0541</v>
      </c>
      <c r="J464" s="142">
        <f t="shared" si="23"/>
        <v>100</v>
      </c>
      <c r="K464" s="143" t="s">
        <v>570</v>
      </c>
      <c r="L464" s="105">
        <f>+L465+L466</f>
        <v>9054100</v>
      </c>
      <c r="N464" s="106"/>
      <c r="O464" s="106"/>
      <c r="P464" s="106"/>
      <c r="Q464" s="106"/>
      <c r="R464" s="106"/>
      <c r="S464" s="106"/>
    </row>
    <row r="465" spans="1:19" s="105" customFormat="1" ht="75">
      <c r="A465" s="106"/>
      <c r="B465" s="194"/>
      <c r="C465" s="139"/>
      <c r="D465" s="140"/>
      <c r="E465" s="139"/>
      <c r="F465" s="139"/>
      <c r="G465" s="140"/>
      <c r="H465" s="139"/>
      <c r="I465" s="141"/>
      <c r="J465" s="142"/>
      <c r="K465" s="175" t="s">
        <v>571</v>
      </c>
      <c r="L465" s="105">
        <v>8932900</v>
      </c>
      <c r="N465" s="106"/>
      <c r="O465" s="106"/>
      <c r="P465" s="106"/>
      <c r="Q465" s="106"/>
      <c r="R465" s="106"/>
      <c r="S465" s="106"/>
    </row>
    <row r="466" spans="1:19" s="105" customFormat="1" ht="56.25">
      <c r="A466" s="106"/>
      <c r="B466" s="194"/>
      <c r="C466" s="139"/>
      <c r="D466" s="140"/>
      <c r="E466" s="139"/>
      <c r="F466" s="139"/>
      <c r="G466" s="140"/>
      <c r="H466" s="139"/>
      <c r="I466" s="141"/>
      <c r="J466" s="142"/>
      <c r="K466" s="175" t="s">
        <v>609</v>
      </c>
      <c r="L466" s="105">
        <v>121200</v>
      </c>
      <c r="N466" s="106"/>
      <c r="O466" s="106"/>
      <c r="P466" s="106"/>
      <c r="Q466" s="106"/>
      <c r="R466" s="106"/>
      <c r="S466" s="106"/>
    </row>
    <row r="467" spans="1:19" s="105" customFormat="1" ht="56.25">
      <c r="A467" s="106"/>
      <c r="B467" s="194" t="s">
        <v>607</v>
      </c>
      <c r="C467" s="139"/>
      <c r="D467" s="140"/>
      <c r="E467" s="139"/>
      <c r="F467" s="139"/>
      <c r="G467" s="140"/>
      <c r="H467" s="139">
        <v>2.2499999999999999E-2</v>
      </c>
      <c r="I467" s="141">
        <f t="shared" si="22"/>
        <v>2.2499999999999999E-2</v>
      </c>
      <c r="J467" s="142">
        <f t="shared" si="23"/>
        <v>100</v>
      </c>
      <c r="K467" s="175" t="s">
        <v>608</v>
      </c>
      <c r="N467" s="106"/>
      <c r="O467" s="106"/>
      <c r="P467" s="106"/>
      <c r="Q467" s="106"/>
      <c r="R467" s="106"/>
      <c r="S467" s="106"/>
    </row>
    <row r="468" spans="1:19" s="105" customFormat="1">
      <c r="A468" s="106"/>
      <c r="B468" s="194"/>
      <c r="C468" s="139"/>
      <c r="D468" s="140"/>
      <c r="E468" s="139"/>
      <c r="F468" s="139"/>
      <c r="G468" s="140"/>
      <c r="H468" s="139"/>
      <c r="I468" s="141"/>
      <c r="J468" s="142"/>
      <c r="K468" s="143"/>
      <c r="N468" s="106"/>
      <c r="O468" s="106"/>
      <c r="P468" s="106"/>
      <c r="Q468" s="106"/>
      <c r="R468" s="106"/>
      <c r="S468" s="106"/>
    </row>
    <row r="469" spans="1:19" s="105" customFormat="1">
      <c r="A469" s="106"/>
      <c r="B469" s="194"/>
      <c r="C469" s="139"/>
      <c r="D469" s="140"/>
      <c r="E469" s="139"/>
      <c r="F469" s="139"/>
      <c r="G469" s="140"/>
      <c r="H469" s="139"/>
      <c r="I469" s="141"/>
      <c r="J469" s="142"/>
      <c r="K469" s="143"/>
      <c r="N469" s="106"/>
      <c r="O469" s="106"/>
      <c r="P469" s="106"/>
      <c r="Q469" s="106"/>
      <c r="R469" s="106"/>
      <c r="S469" s="106"/>
    </row>
    <row r="470" spans="1:19" s="105" customFormat="1">
      <c r="A470" s="106"/>
      <c r="B470" s="175" t="s">
        <v>43</v>
      </c>
      <c r="C470" s="139"/>
      <c r="D470" s="140"/>
      <c r="E470" s="139">
        <f>+E472+E479+E488+E492+E498</f>
        <v>31.224100000000004</v>
      </c>
      <c r="F470" s="139"/>
      <c r="G470" s="140"/>
      <c r="H470" s="139">
        <f>SUM(H472:H503)</f>
        <v>49.951999999999991</v>
      </c>
      <c r="I470" s="141">
        <f t="shared" si="22"/>
        <v>18.727899999999988</v>
      </c>
      <c r="J470" s="142">
        <f t="shared" si="23"/>
        <v>37.491792120435605</v>
      </c>
      <c r="K470" s="143"/>
      <c r="N470" s="106"/>
      <c r="O470" s="106"/>
      <c r="P470" s="106"/>
      <c r="Q470" s="106"/>
      <c r="R470" s="106"/>
      <c r="S470" s="106"/>
    </row>
    <row r="471" spans="1:19" s="105" customFormat="1">
      <c r="A471" s="106"/>
      <c r="B471" s="175" t="s">
        <v>19</v>
      </c>
      <c r="C471" s="139"/>
      <c r="D471" s="140"/>
      <c r="E471" s="139"/>
      <c r="F471" s="139"/>
      <c r="G471" s="140"/>
      <c r="H471" s="139"/>
      <c r="I471" s="141"/>
      <c r="J471" s="142"/>
      <c r="K471" s="143"/>
      <c r="N471" s="106"/>
      <c r="O471" s="106"/>
      <c r="P471" s="106"/>
      <c r="Q471" s="106"/>
      <c r="R471" s="106"/>
      <c r="S471" s="106"/>
    </row>
    <row r="472" spans="1:19" s="105" customFormat="1" ht="37.5">
      <c r="A472" s="106"/>
      <c r="B472" s="194" t="s">
        <v>85</v>
      </c>
      <c r="C472" s="139"/>
      <c r="D472" s="140"/>
      <c r="E472" s="139">
        <v>5.5709</v>
      </c>
      <c r="F472" s="139"/>
      <c r="G472" s="140"/>
      <c r="H472" s="139">
        <f>2.1386+1-0.238-0.0052+0.0104</f>
        <v>2.9058000000000002</v>
      </c>
      <c r="I472" s="141">
        <f t="shared" si="22"/>
        <v>-2.6650999999999998</v>
      </c>
      <c r="J472" s="142">
        <f t="shared" si="23"/>
        <v>-91.716566866267456</v>
      </c>
      <c r="K472" s="175" t="s">
        <v>578</v>
      </c>
      <c r="L472" s="105">
        <f>SUM(L473:L477)</f>
        <v>2138600</v>
      </c>
      <c r="N472" s="106"/>
      <c r="O472" s="106"/>
      <c r="P472" s="106"/>
      <c r="Q472" s="106"/>
      <c r="R472" s="106"/>
      <c r="S472" s="106"/>
    </row>
    <row r="473" spans="1:19" s="105" customFormat="1">
      <c r="A473" s="106"/>
      <c r="B473" s="194"/>
      <c r="C473" s="139"/>
      <c r="D473" s="140"/>
      <c r="E473" s="139"/>
      <c r="F473" s="139"/>
      <c r="G473" s="140"/>
      <c r="H473" s="139"/>
      <c r="I473" s="141"/>
      <c r="J473" s="142"/>
      <c r="K473" s="143" t="s">
        <v>579</v>
      </c>
      <c r="L473" s="105">
        <v>770800</v>
      </c>
      <c r="N473" s="106"/>
      <c r="O473" s="106"/>
      <c r="P473" s="106"/>
      <c r="Q473" s="106"/>
      <c r="R473" s="106"/>
      <c r="S473" s="106"/>
    </row>
    <row r="474" spans="1:19" s="105" customFormat="1" ht="37.5">
      <c r="A474" s="106"/>
      <c r="B474" s="194"/>
      <c r="C474" s="139"/>
      <c r="D474" s="140"/>
      <c r="E474" s="139"/>
      <c r="F474" s="139"/>
      <c r="G474" s="140"/>
      <c r="H474" s="139"/>
      <c r="I474" s="141"/>
      <c r="J474" s="142"/>
      <c r="K474" s="175" t="s">
        <v>595</v>
      </c>
      <c r="L474" s="105">
        <v>163800</v>
      </c>
      <c r="N474" s="106"/>
      <c r="O474" s="106"/>
      <c r="P474" s="106"/>
      <c r="Q474" s="106"/>
      <c r="R474" s="106"/>
      <c r="S474" s="106"/>
    </row>
    <row r="475" spans="1:19" s="105" customFormat="1">
      <c r="A475" s="106"/>
      <c r="B475" s="194"/>
      <c r="C475" s="139"/>
      <c r="D475" s="140"/>
      <c r="E475" s="139"/>
      <c r="F475" s="139"/>
      <c r="G475" s="140"/>
      <c r="H475" s="139"/>
      <c r="I475" s="141"/>
      <c r="J475" s="142"/>
      <c r="K475" s="175" t="s">
        <v>596</v>
      </c>
      <c r="L475" s="105">
        <v>122900</v>
      </c>
      <c r="N475" s="106"/>
      <c r="O475" s="106"/>
      <c r="P475" s="106"/>
      <c r="Q475" s="106"/>
      <c r="R475" s="106"/>
      <c r="S475" s="106"/>
    </row>
    <row r="476" spans="1:19" s="105" customFormat="1" ht="37.5">
      <c r="A476" s="106"/>
      <c r="B476" s="194"/>
      <c r="C476" s="139"/>
      <c r="D476" s="140"/>
      <c r="E476" s="139"/>
      <c r="F476" s="139"/>
      <c r="G476" s="140"/>
      <c r="H476" s="139"/>
      <c r="I476" s="141"/>
      <c r="J476" s="142"/>
      <c r="K476" s="175" t="s">
        <v>614</v>
      </c>
      <c r="L476" s="105">
        <v>581100</v>
      </c>
      <c r="N476" s="106"/>
      <c r="O476" s="106"/>
      <c r="P476" s="106"/>
      <c r="Q476" s="106"/>
      <c r="R476" s="106"/>
      <c r="S476" s="106"/>
    </row>
    <row r="477" spans="1:19" s="105" customFormat="1">
      <c r="A477" s="106"/>
      <c r="B477" s="194"/>
      <c r="C477" s="139"/>
      <c r="D477" s="140"/>
      <c r="E477" s="139"/>
      <c r="F477" s="139"/>
      <c r="G477" s="140"/>
      <c r="H477" s="139"/>
      <c r="I477" s="141"/>
      <c r="J477" s="142"/>
      <c r="K477" s="175" t="s">
        <v>622</v>
      </c>
      <c r="L477" s="105">
        <v>500000</v>
      </c>
      <c r="N477" s="106"/>
      <c r="O477" s="106"/>
      <c r="P477" s="106"/>
      <c r="Q477" s="106"/>
      <c r="R477" s="106"/>
      <c r="S477" s="106"/>
    </row>
    <row r="478" spans="1:19" s="105" customFormat="1">
      <c r="A478" s="106"/>
      <c r="B478" s="194"/>
      <c r="C478" s="139"/>
      <c r="D478" s="140"/>
      <c r="E478" s="139"/>
      <c r="F478" s="139"/>
      <c r="G478" s="140"/>
      <c r="H478" s="139"/>
      <c r="I478" s="141"/>
      <c r="J478" s="142"/>
      <c r="K478" s="143"/>
      <c r="N478" s="106"/>
      <c r="O478" s="106"/>
      <c r="P478" s="106"/>
      <c r="Q478" s="106"/>
      <c r="R478" s="106"/>
      <c r="S478" s="106"/>
    </row>
    <row r="479" spans="1:19" s="105" customFormat="1">
      <c r="A479" s="106"/>
      <c r="B479" s="194" t="s">
        <v>86</v>
      </c>
      <c r="C479" s="139"/>
      <c r="D479" s="140"/>
      <c r="E479" s="139">
        <v>5.3220999999999998</v>
      </c>
      <c r="F479" s="139"/>
      <c r="G479" s="140"/>
      <c r="H479" s="139">
        <v>3.5646</v>
      </c>
      <c r="I479" s="141">
        <f t="shared" si="22"/>
        <v>-1.7574999999999998</v>
      </c>
      <c r="J479" s="142">
        <f t="shared" si="23"/>
        <v>-49.304269763788355</v>
      </c>
      <c r="K479" s="143" t="s">
        <v>580</v>
      </c>
      <c r="L479" s="105">
        <f>SUM(L480:L487)</f>
        <v>3564600</v>
      </c>
      <c r="N479" s="106"/>
      <c r="O479" s="106"/>
      <c r="P479" s="106"/>
      <c r="Q479" s="106"/>
      <c r="R479" s="106"/>
      <c r="S479" s="106"/>
    </row>
    <row r="480" spans="1:19" s="105" customFormat="1">
      <c r="A480" s="106"/>
      <c r="B480" s="194"/>
      <c r="C480" s="139"/>
      <c r="D480" s="140"/>
      <c r="E480" s="139"/>
      <c r="F480" s="139"/>
      <c r="G480" s="140"/>
      <c r="H480" s="139"/>
      <c r="I480" s="141"/>
      <c r="J480" s="142"/>
      <c r="K480" s="143" t="s">
        <v>625</v>
      </c>
      <c r="L480" s="105">
        <v>120000</v>
      </c>
      <c r="N480" s="106"/>
      <c r="O480" s="106"/>
      <c r="P480" s="106"/>
      <c r="Q480" s="106"/>
      <c r="R480" s="106"/>
      <c r="S480" s="106"/>
    </row>
    <row r="481" spans="1:19" s="105" customFormat="1" ht="37.5">
      <c r="A481" s="106"/>
      <c r="B481" s="194"/>
      <c r="C481" s="139"/>
      <c r="D481" s="140"/>
      <c r="E481" s="139"/>
      <c r="F481" s="139"/>
      <c r="G481" s="140"/>
      <c r="H481" s="139"/>
      <c r="I481" s="141"/>
      <c r="J481" s="142"/>
      <c r="K481" s="175" t="s">
        <v>597</v>
      </c>
      <c r="L481" s="105">
        <v>1200000</v>
      </c>
      <c r="N481" s="106"/>
      <c r="O481" s="106"/>
      <c r="P481" s="106"/>
      <c r="Q481" s="106"/>
      <c r="R481" s="106"/>
      <c r="S481" s="106"/>
    </row>
    <row r="482" spans="1:19" s="105" customFormat="1" ht="37.5">
      <c r="A482" s="106"/>
      <c r="B482" s="194"/>
      <c r="C482" s="139"/>
      <c r="D482" s="140"/>
      <c r="E482" s="139"/>
      <c r="F482" s="139"/>
      <c r="G482" s="140"/>
      <c r="H482" s="139"/>
      <c r="I482" s="141"/>
      <c r="J482" s="142"/>
      <c r="K482" s="175" t="s">
        <v>598</v>
      </c>
      <c r="L482" s="105">
        <v>201600</v>
      </c>
      <c r="N482" s="106"/>
      <c r="O482" s="106"/>
      <c r="P482" s="106"/>
      <c r="Q482" s="106"/>
      <c r="R482" s="106"/>
      <c r="S482" s="106"/>
    </row>
    <row r="483" spans="1:19" s="105" customFormat="1" ht="37.5">
      <c r="A483" s="106"/>
      <c r="B483" s="194"/>
      <c r="C483" s="139"/>
      <c r="D483" s="140"/>
      <c r="E483" s="139"/>
      <c r="F483" s="139"/>
      <c r="G483" s="140"/>
      <c r="H483" s="139"/>
      <c r="I483" s="141"/>
      <c r="J483" s="142"/>
      <c r="K483" s="175" t="s">
        <v>599</v>
      </c>
      <c r="L483" s="105">
        <v>883000</v>
      </c>
      <c r="N483" s="106"/>
      <c r="O483" s="106"/>
      <c r="P483" s="106"/>
      <c r="Q483" s="106"/>
      <c r="R483" s="106"/>
      <c r="S483" s="106"/>
    </row>
    <row r="484" spans="1:19" s="105" customFormat="1" ht="37.5">
      <c r="A484" s="106"/>
      <c r="B484" s="194"/>
      <c r="C484" s="139"/>
      <c r="D484" s="140"/>
      <c r="E484" s="139"/>
      <c r="F484" s="139"/>
      <c r="G484" s="140"/>
      <c r="H484" s="139"/>
      <c r="I484" s="141"/>
      <c r="J484" s="142"/>
      <c r="K484" s="175" t="s">
        <v>600</v>
      </c>
      <c r="L484" s="105">
        <v>60000</v>
      </c>
      <c r="N484" s="106"/>
      <c r="O484" s="106"/>
      <c r="P484" s="106"/>
      <c r="Q484" s="106"/>
      <c r="R484" s="106"/>
      <c r="S484" s="106"/>
    </row>
    <row r="485" spans="1:19" s="105" customFormat="1" ht="56.25">
      <c r="A485" s="106"/>
      <c r="B485" s="194"/>
      <c r="C485" s="139"/>
      <c r="D485" s="140"/>
      <c r="E485" s="139"/>
      <c r="F485" s="139"/>
      <c r="G485" s="140"/>
      <c r="H485" s="139"/>
      <c r="I485" s="141"/>
      <c r="J485" s="142"/>
      <c r="K485" s="175" t="s">
        <v>615</v>
      </c>
      <c r="L485" s="105">
        <v>600000</v>
      </c>
      <c r="N485" s="106"/>
      <c r="O485" s="106"/>
      <c r="P485" s="106"/>
      <c r="Q485" s="106"/>
      <c r="R485" s="106"/>
      <c r="S485" s="106"/>
    </row>
    <row r="486" spans="1:19" s="105" customFormat="1" ht="37.5">
      <c r="A486" s="106"/>
      <c r="B486" s="194"/>
      <c r="C486" s="139"/>
      <c r="D486" s="140"/>
      <c r="E486" s="139"/>
      <c r="F486" s="139"/>
      <c r="G486" s="140"/>
      <c r="H486" s="139"/>
      <c r="I486" s="141"/>
      <c r="J486" s="142"/>
      <c r="K486" s="175" t="s">
        <v>616</v>
      </c>
      <c r="N486" s="106"/>
      <c r="O486" s="106"/>
      <c r="P486" s="106"/>
      <c r="Q486" s="106"/>
      <c r="R486" s="106"/>
      <c r="S486" s="106"/>
    </row>
    <row r="487" spans="1:19" s="105" customFormat="1">
      <c r="A487" s="106"/>
      <c r="B487" s="194"/>
      <c r="C487" s="139"/>
      <c r="D487" s="140"/>
      <c r="E487" s="139"/>
      <c r="F487" s="139"/>
      <c r="G487" s="140"/>
      <c r="H487" s="139"/>
      <c r="I487" s="141"/>
      <c r="J487" s="142"/>
      <c r="K487" s="175" t="s">
        <v>622</v>
      </c>
      <c r="L487" s="105">
        <v>500000</v>
      </c>
      <c r="N487" s="106"/>
      <c r="O487" s="106"/>
      <c r="P487" s="106"/>
      <c r="Q487" s="106"/>
      <c r="R487" s="106"/>
      <c r="S487" s="106"/>
    </row>
    <row r="488" spans="1:19" s="105" customFormat="1" ht="37.5">
      <c r="A488" s="106"/>
      <c r="B488" s="194" t="s">
        <v>87</v>
      </c>
      <c r="C488" s="139"/>
      <c r="D488" s="140"/>
      <c r="E488" s="139">
        <v>15.505800000000001</v>
      </c>
      <c r="F488" s="139"/>
      <c r="G488" s="140"/>
      <c r="H488" s="139">
        <v>25.713699999999999</v>
      </c>
      <c r="I488" s="141">
        <f t="shared" si="22"/>
        <v>10.207899999999999</v>
      </c>
      <c r="J488" s="142">
        <f t="shared" si="23"/>
        <v>39.698293127787906</v>
      </c>
      <c r="K488" s="175" t="s">
        <v>593</v>
      </c>
      <c r="L488" s="105">
        <f>SUM(L489:L490)</f>
        <v>25713700</v>
      </c>
      <c r="N488" s="106"/>
      <c r="O488" s="106"/>
      <c r="P488" s="106"/>
      <c r="Q488" s="106"/>
      <c r="R488" s="106"/>
      <c r="S488" s="106"/>
    </row>
    <row r="489" spans="1:19" s="105" customFormat="1" ht="37.5">
      <c r="A489" s="106"/>
      <c r="B489" s="194"/>
      <c r="C489" s="139"/>
      <c r="D489" s="140"/>
      <c r="E489" s="139"/>
      <c r="F489" s="139"/>
      <c r="G489" s="140"/>
      <c r="H489" s="139"/>
      <c r="I489" s="141"/>
      <c r="J489" s="142"/>
      <c r="K489" s="175" t="s">
        <v>594</v>
      </c>
      <c r="L489" s="105">
        <v>19977000</v>
      </c>
      <c r="N489" s="106"/>
      <c r="O489" s="106"/>
      <c r="P489" s="106"/>
      <c r="Q489" s="106"/>
      <c r="R489" s="106"/>
      <c r="S489" s="106"/>
    </row>
    <row r="490" spans="1:19" s="105" customFormat="1" ht="37.5">
      <c r="A490" s="106"/>
      <c r="B490" s="194"/>
      <c r="C490" s="139"/>
      <c r="D490" s="140"/>
      <c r="E490" s="139"/>
      <c r="F490" s="139"/>
      <c r="G490" s="140"/>
      <c r="H490" s="139"/>
      <c r="I490" s="141"/>
      <c r="J490" s="142"/>
      <c r="K490" s="175" t="s">
        <v>611</v>
      </c>
      <c r="L490" s="105">
        <v>5736700</v>
      </c>
      <c r="N490" s="106"/>
      <c r="O490" s="106"/>
      <c r="P490" s="106"/>
      <c r="Q490" s="106"/>
      <c r="R490" s="106"/>
      <c r="S490" s="106"/>
    </row>
    <row r="491" spans="1:19" s="105" customFormat="1">
      <c r="A491" s="106"/>
      <c r="B491" s="194"/>
      <c r="C491" s="139"/>
      <c r="D491" s="140"/>
      <c r="E491" s="139"/>
      <c r="F491" s="139"/>
      <c r="G491" s="140"/>
      <c r="H491" s="139"/>
      <c r="I491" s="141"/>
      <c r="J491" s="142"/>
      <c r="K491" s="143"/>
      <c r="N491" s="106"/>
      <c r="O491" s="106"/>
      <c r="P491" s="106"/>
      <c r="Q491" s="106"/>
      <c r="R491" s="106"/>
      <c r="S491" s="106"/>
    </row>
    <row r="492" spans="1:19" s="105" customFormat="1" ht="37.5">
      <c r="A492" s="106"/>
      <c r="B492" s="194" t="s">
        <v>88</v>
      </c>
      <c r="C492" s="139"/>
      <c r="D492" s="140"/>
      <c r="E492" s="139">
        <v>1.7324999999999999</v>
      </c>
      <c r="F492" s="139"/>
      <c r="G492" s="140"/>
      <c r="H492" s="139">
        <v>0.69789999999999996</v>
      </c>
      <c r="I492" s="141">
        <f t="shared" si="22"/>
        <v>-1.0346</v>
      </c>
      <c r="J492" s="142">
        <f t="shared" si="23"/>
        <v>-148.24473420260782</v>
      </c>
      <c r="K492" s="175" t="s">
        <v>583</v>
      </c>
      <c r="L492" s="105">
        <f>SUM(L493:L496)</f>
        <v>697900</v>
      </c>
      <c r="N492" s="106"/>
      <c r="O492" s="106"/>
      <c r="P492" s="106"/>
      <c r="Q492" s="106"/>
      <c r="R492" s="106"/>
      <c r="S492" s="106"/>
    </row>
    <row r="493" spans="1:19" s="105" customFormat="1" ht="56.25">
      <c r="A493" s="106"/>
      <c r="B493" s="194"/>
      <c r="C493" s="139"/>
      <c r="D493" s="140"/>
      <c r="E493" s="139"/>
      <c r="F493" s="139"/>
      <c r="G493" s="140"/>
      <c r="H493" s="139"/>
      <c r="I493" s="141"/>
      <c r="J493" s="142"/>
      <c r="K493" s="175" t="s">
        <v>584</v>
      </c>
      <c r="L493" s="105">
        <v>437600</v>
      </c>
      <c r="N493" s="106"/>
      <c r="O493" s="106"/>
      <c r="P493" s="106"/>
      <c r="Q493" s="106"/>
      <c r="R493" s="106"/>
      <c r="S493" s="106"/>
    </row>
    <row r="494" spans="1:19" s="105" customFormat="1" ht="37.5">
      <c r="A494" s="106"/>
      <c r="B494" s="194"/>
      <c r="C494" s="139"/>
      <c r="D494" s="140"/>
      <c r="E494" s="139"/>
      <c r="F494" s="139"/>
      <c r="G494" s="140"/>
      <c r="H494" s="139"/>
      <c r="I494" s="141"/>
      <c r="J494" s="142"/>
      <c r="K494" s="175" t="s">
        <v>612</v>
      </c>
      <c r="L494" s="105">
        <v>33400</v>
      </c>
      <c r="N494" s="106"/>
      <c r="O494" s="106"/>
      <c r="P494" s="106"/>
      <c r="Q494" s="106"/>
      <c r="R494" s="106"/>
      <c r="S494" s="106"/>
    </row>
    <row r="495" spans="1:19" s="105" customFormat="1" ht="56.25">
      <c r="A495" s="106"/>
      <c r="B495" s="194"/>
      <c r="C495" s="139"/>
      <c r="D495" s="140"/>
      <c r="E495" s="139"/>
      <c r="F495" s="139"/>
      <c r="G495" s="140"/>
      <c r="H495" s="139"/>
      <c r="I495" s="141"/>
      <c r="J495" s="142"/>
      <c r="K495" s="175" t="s">
        <v>613</v>
      </c>
      <c r="L495" s="105">
        <v>26900</v>
      </c>
      <c r="N495" s="106"/>
      <c r="O495" s="106"/>
      <c r="P495" s="106"/>
      <c r="Q495" s="106"/>
      <c r="R495" s="106"/>
      <c r="S495" s="106"/>
    </row>
    <row r="496" spans="1:19" s="105" customFormat="1">
      <c r="A496" s="106"/>
      <c r="B496" s="194"/>
      <c r="C496" s="139"/>
      <c r="D496" s="140"/>
      <c r="E496" s="139"/>
      <c r="F496" s="139"/>
      <c r="G496" s="140"/>
      <c r="H496" s="139"/>
      <c r="I496" s="141"/>
      <c r="J496" s="142"/>
      <c r="K496" s="175" t="s">
        <v>624</v>
      </c>
      <c r="L496" s="105">
        <v>200000</v>
      </c>
      <c r="N496" s="106"/>
      <c r="O496" s="106"/>
      <c r="P496" s="106"/>
      <c r="Q496" s="106"/>
      <c r="R496" s="106"/>
      <c r="S496" s="106"/>
    </row>
    <row r="497" spans="1:19" s="105" customFormat="1">
      <c r="A497" s="106"/>
      <c r="B497" s="194"/>
      <c r="C497" s="139"/>
      <c r="D497" s="140"/>
      <c r="E497" s="139"/>
      <c r="F497" s="139"/>
      <c r="G497" s="140"/>
      <c r="H497" s="139"/>
      <c r="I497" s="141"/>
      <c r="J497" s="142"/>
      <c r="K497" s="143"/>
      <c r="N497" s="106"/>
      <c r="O497" s="106"/>
      <c r="P497" s="106"/>
      <c r="Q497" s="106"/>
      <c r="R497" s="106"/>
      <c r="S497" s="106"/>
    </row>
    <row r="498" spans="1:19" s="105" customFormat="1" ht="37.5">
      <c r="A498" s="106"/>
      <c r="B498" s="194" t="s">
        <v>89</v>
      </c>
      <c r="C498" s="139"/>
      <c r="D498" s="140"/>
      <c r="E498" s="139">
        <v>3.0928</v>
      </c>
      <c r="F498" s="139"/>
      <c r="G498" s="140"/>
      <c r="H498" s="139">
        <v>16.48</v>
      </c>
      <c r="I498" s="141">
        <f t="shared" si="22"/>
        <v>13.3872</v>
      </c>
      <c r="J498" s="142">
        <f t="shared" si="23"/>
        <v>81.233009708737868</v>
      </c>
      <c r="K498" s="175" t="s">
        <v>602</v>
      </c>
      <c r="L498" s="105">
        <f>SUM(L499:L501)</f>
        <v>16480000</v>
      </c>
      <c r="N498" s="106"/>
      <c r="O498" s="106"/>
      <c r="P498" s="106"/>
      <c r="Q498" s="106"/>
      <c r="R498" s="106"/>
      <c r="S498" s="106"/>
    </row>
    <row r="499" spans="1:19" s="105" customFormat="1" ht="37.5">
      <c r="A499" s="106"/>
      <c r="B499" s="194"/>
      <c r="C499" s="139"/>
      <c r="D499" s="140"/>
      <c r="E499" s="139"/>
      <c r="F499" s="139"/>
      <c r="G499" s="140"/>
      <c r="H499" s="139"/>
      <c r="I499" s="141"/>
      <c r="J499" s="142"/>
      <c r="K499" s="175" t="s">
        <v>601</v>
      </c>
      <c r="L499" s="105">
        <v>840000</v>
      </c>
      <c r="N499" s="106"/>
      <c r="O499" s="106"/>
      <c r="P499" s="106"/>
      <c r="Q499" s="106"/>
      <c r="R499" s="106"/>
      <c r="S499" s="106"/>
    </row>
    <row r="500" spans="1:19" s="105" customFormat="1" ht="79.5" customHeight="1">
      <c r="A500" s="106"/>
      <c r="B500" s="194"/>
      <c r="C500" s="139"/>
      <c r="D500" s="140"/>
      <c r="E500" s="139"/>
      <c r="F500" s="139"/>
      <c r="G500" s="140"/>
      <c r="H500" s="139"/>
      <c r="I500" s="141"/>
      <c r="J500" s="142"/>
      <c r="K500" s="175" t="s">
        <v>619</v>
      </c>
      <c r="L500" s="105">
        <v>1200000</v>
      </c>
      <c r="N500" s="106"/>
      <c r="O500" s="106"/>
      <c r="P500" s="106"/>
      <c r="Q500" s="106"/>
      <c r="R500" s="106"/>
      <c r="S500" s="106"/>
    </row>
    <row r="501" spans="1:19" s="105" customFormat="1" ht="56.25">
      <c r="A501" s="106"/>
      <c r="B501" s="194"/>
      <c r="C501" s="139"/>
      <c r="D501" s="140"/>
      <c r="E501" s="139"/>
      <c r="F501" s="139"/>
      <c r="G501" s="140"/>
      <c r="H501" s="139"/>
      <c r="I501" s="141"/>
      <c r="J501" s="142"/>
      <c r="K501" s="175" t="s">
        <v>620</v>
      </c>
      <c r="L501" s="105">
        <v>14440000</v>
      </c>
      <c r="N501" s="106"/>
      <c r="O501" s="106"/>
      <c r="P501" s="106"/>
      <c r="Q501" s="106"/>
      <c r="R501" s="106"/>
      <c r="S501" s="106"/>
    </row>
    <row r="502" spans="1:19" s="105" customFormat="1" ht="37.5">
      <c r="A502" s="106"/>
      <c r="B502" s="194" t="s">
        <v>585</v>
      </c>
      <c r="C502" s="139"/>
      <c r="D502" s="140"/>
      <c r="E502" s="139"/>
      <c r="F502" s="139"/>
      <c r="G502" s="140"/>
      <c r="H502" s="139">
        <v>0.05</v>
      </c>
      <c r="I502" s="141">
        <f t="shared" si="22"/>
        <v>0.05</v>
      </c>
      <c r="J502" s="142">
        <f t="shared" si="23"/>
        <v>100</v>
      </c>
      <c r="K502" s="175" t="s">
        <v>586</v>
      </c>
      <c r="N502" s="106"/>
      <c r="O502" s="106"/>
      <c r="P502" s="106"/>
      <c r="Q502" s="106"/>
      <c r="R502" s="106"/>
      <c r="S502" s="106"/>
    </row>
    <row r="503" spans="1:19" s="105" customFormat="1" ht="40.5">
      <c r="A503" s="106"/>
      <c r="B503" s="175" t="s">
        <v>69</v>
      </c>
      <c r="C503" s="139"/>
      <c r="D503" s="140"/>
      <c r="E503" s="139"/>
      <c r="F503" s="139"/>
      <c r="G503" s="140"/>
      <c r="H503" s="139">
        <v>0.54</v>
      </c>
      <c r="I503" s="141">
        <f t="shared" si="22"/>
        <v>0.54</v>
      </c>
      <c r="J503" s="142">
        <f t="shared" si="23"/>
        <v>100</v>
      </c>
      <c r="K503" s="143"/>
      <c r="N503" s="106"/>
      <c r="O503" s="106"/>
      <c r="P503" s="106"/>
      <c r="Q503" s="106"/>
      <c r="R503" s="106"/>
      <c r="S503" s="106"/>
    </row>
    <row r="504" spans="1:19" s="105" customFormat="1">
      <c r="A504" s="106"/>
      <c r="B504" s="194" t="s">
        <v>2</v>
      </c>
      <c r="C504" s="139"/>
      <c r="D504" s="140"/>
      <c r="E504" s="139"/>
      <c r="F504" s="139"/>
      <c r="G504" s="140"/>
      <c r="H504" s="139"/>
      <c r="I504" s="141"/>
      <c r="J504" s="142"/>
      <c r="K504" s="143"/>
      <c r="N504" s="106"/>
      <c r="O504" s="106"/>
      <c r="P504" s="106"/>
      <c r="Q504" s="106"/>
      <c r="R504" s="106"/>
      <c r="S504" s="106"/>
    </row>
    <row r="505" spans="1:19" s="105" customFormat="1">
      <c r="A505" s="106"/>
      <c r="B505" s="194" t="s">
        <v>3</v>
      </c>
      <c r="C505" s="139"/>
      <c r="D505" s="140"/>
      <c r="E505" s="139"/>
      <c r="F505" s="139"/>
      <c r="G505" s="140"/>
      <c r="H505" s="139"/>
      <c r="I505" s="141"/>
      <c r="J505" s="142"/>
      <c r="K505" s="143"/>
      <c r="L505" s="105">
        <f>SUM(L506:L508)</f>
        <v>540000</v>
      </c>
      <c r="N505" s="106"/>
      <c r="O505" s="106"/>
      <c r="P505" s="106"/>
      <c r="Q505" s="106"/>
      <c r="R505" s="106"/>
      <c r="S505" s="106"/>
    </row>
    <row r="506" spans="1:19" s="105" customFormat="1" ht="37.5">
      <c r="A506" s="106"/>
      <c r="B506" s="194" t="s">
        <v>581</v>
      </c>
      <c r="C506" s="139"/>
      <c r="D506" s="140"/>
      <c r="E506" s="139"/>
      <c r="F506" s="139"/>
      <c r="G506" s="140"/>
      <c r="H506" s="139"/>
      <c r="I506" s="141"/>
      <c r="J506" s="142"/>
      <c r="K506" s="175" t="s">
        <v>582</v>
      </c>
      <c r="L506" s="105">
        <v>180000</v>
      </c>
      <c r="N506" s="106"/>
      <c r="O506" s="106"/>
      <c r="P506" s="106"/>
      <c r="Q506" s="106"/>
      <c r="R506" s="106"/>
      <c r="S506" s="106"/>
    </row>
    <row r="507" spans="1:19" s="105" customFormat="1" ht="37.5">
      <c r="A507" s="106"/>
      <c r="B507" s="194" t="s">
        <v>604</v>
      </c>
      <c r="C507" s="139"/>
      <c r="D507" s="140"/>
      <c r="E507" s="139"/>
      <c r="F507" s="139"/>
      <c r="G507" s="140"/>
      <c r="H507" s="139"/>
      <c r="I507" s="141"/>
      <c r="J507" s="142"/>
      <c r="K507" s="175" t="s">
        <v>603</v>
      </c>
      <c r="L507" s="105">
        <v>180000</v>
      </c>
      <c r="N507" s="106"/>
      <c r="O507" s="106"/>
      <c r="P507" s="106"/>
      <c r="Q507" s="106"/>
      <c r="R507" s="106"/>
      <c r="S507" s="106"/>
    </row>
    <row r="508" spans="1:19" s="105" customFormat="1" ht="56.25">
      <c r="A508" s="106"/>
      <c r="B508" s="194" t="s">
        <v>617</v>
      </c>
      <c r="C508" s="139"/>
      <c r="D508" s="140"/>
      <c r="E508" s="139"/>
      <c r="F508" s="139"/>
      <c r="G508" s="140"/>
      <c r="H508" s="139"/>
      <c r="I508" s="141"/>
      <c r="J508" s="142"/>
      <c r="K508" s="175" t="s">
        <v>618</v>
      </c>
      <c r="L508" s="105">
        <v>180000</v>
      </c>
      <c r="N508" s="106"/>
      <c r="O508" s="106"/>
      <c r="P508" s="106"/>
      <c r="Q508" s="106"/>
      <c r="R508" s="106"/>
      <c r="S508" s="106"/>
    </row>
    <row r="509" spans="1:19" s="105" customFormat="1">
      <c r="A509" s="106"/>
      <c r="B509" s="194"/>
      <c r="C509" s="139"/>
      <c r="D509" s="140"/>
      <c r="E509" s="139"/>
      <c r="F509" s="139"/>
      <c r="G509" s="140"/>
      <c r="H509" s="139"/>
      <c r="I509" s="141"/>
      <c r="J509" s="142"/>
      <c r="K509" s="143"/>
      <c r="N509" s="106"/>
      <c r="O509" s="106"/>
      <c r="P509" s="106"/>
      <c r="Q509" s="106"/>
      <c r="R509" s="106"/>
      <c r="S509" s="106"/>
    </row>
    <row r="510" spans="1:19" s="105" customFormat="1">
      <c r="A510" s="106"/>
      <c r="B510" s="194"/>
      <c r="C510" s="139"/>
      <c r="D510" s="140"/>
      <c r="E510" s="139"/>
      <c r="F510" s="139"/>
      <c r="G510" s="140"/>
      <c r="H510" s="139"/>
      <c r="I510" s="141"/>
      <c r="J510" s="142"/>
      <c r="K510" s="143"/>
      <c r="N510" s="106"/>
      <c r="O510" s="106"/>
      <c r="P510" s="106"/>
      <c r="Q510" s="106"/>
      <c r="R510" s="106"/>
      <c r="S510" s="106"/>
    </row>
    <row r="511" spans="1:19" s="105" customFormat="1">
      <c r="A511" s="106"/>
      <c r="B511" s="175" t="s">
        <v>22</v>
      </c>
      <c r="C511" s="139"/>
      <c r="D511" s="140"/>
      <c r="E511" s="139"/>
      <c r="F511" s="139"/>
      <c r="G511" s="140"/>
      <c r="H511" s="139"/>
      <c r="I511" s="141"/>
      <c r="J511" s="142"/>
      <c r="K511" s="143"/>
      <c r="N511" s="106"/>
      <c r="O511" s="106"/>
      <c r="P511" s="106"/>
      <c r="Q511" s="106"/>
      <c r="R511" s="106"/>
      <c r="S511" s="106"/>
    </row>
    <row r="512" spans="1:19" s="105" customFormat="1">
      <c r="A512" s="106"/>
      <c r="B512" s="194" t="s">
        <v>21</v>
      </c>
      <c r="C512" s="139"/>
      <c r="D512" s="140"/>
      <c r="E512" s="139"/>
      <c r="F512" s="139"/>
      <c r="G512" s="140"/>
      <c r="H512" s="139"/>
      <c r="I512" s="141"/>
      <c r="J512" s="142"/>
      <c r="K512" s="143"/>
      <c r="N512" s="106"/>
      <c r="O512" s="106"/>
      <c r="P512" s="106"/>
      <c r="Q512" s="106"/>
      <c r="R512" s="106"/>
      <c r="S512" s="106"/>
    </row>
    <row r="513" spans="1:19" s="105" customFormat="1">
      <c r="A513" s="106"/>
      <c r="B513" s="175" t="s">
        <v>20</v>
      </c>
      <c r="C513" s="139"/>
      <c r="D513" s="140"/>
      <c r="E513" s="139"/>
      <c r="F513" s="139"/>
      <c r="G513" s="140"/>
      <c r="H513" s="139"/>
      <c r="I513" s="141"/>
      <c r="J513" s="142"/>
      <c r="K513" s="143"/>
      <c r="N513" s="106"/>
      <c r="O513" s="106"/>
      <c r="P513" s="106"/>
      <c r="Q513" s="106"/>
      <c r="R513" s="106"/>
      <c r="S513" s="106"/>
    </row>
    <row r="514" spans="1:19" s="105" customFormat="1">
      <c r="A514" s="106"/>
      <c r="B514" s="194" t="s">
        <v>17</v>
      </c>
      <c r="C514" s="139"/>
      <c r="D514" s="140"/>
      <c r="E514" s="139"/>
      <c r="F514" s="139"/>
      <c r="G514" s="140"/>
      <c r="H514" s="139"/>
      <c r="I514" s="141"/>
      <c r="J514" s="142"/>
      <c r="K514" s="143"/>
      <c r="N514" s="106"/>
      <c r="O514" s="106"/>
      <c r="P514" s="106"/>
      <c r="Q514" s="106"/>
      <c r="R514" s="106"/>
      <c r="S514" s="106"/>
    </row>
    <row r="515" spans="1:19" s="105" customFormat="1">
      <c r="A515" s="106"/>
      <c r="B515" s="175" t="s">
        <v>44</v>
      </c>
      <c r="C515" s="139"/>
      <c r="D515" s="140"/>
      <c r="E515" s="139">
        <f>+E516+E522</f>
        <v>0.78220000000000001</v>
      </c>
      <c r="F515" s="139"/>
      <c r="G515" s="140"/>
      <c r="H515" s="139">
        <f>SUM(H516:H526)</f>
        <v>2.7017000000000002</v>
      </c>
      <c r="I515" s="141">
        <f t="shared" si="22"/>
        <v>1.9195000000000002</v>
      </c>
      <c r="J515" s="142">
        <f t="shared" si="23"/>
        <v>71.047858755598327</v>
      </c>
      <c r="K515" s="143"/>
      <c r="N515" s="106"/>
      <c r="O515" s="106"/>
      <c r="P515" s="106"/>
      <c r="Q515" s="106"/>
      <c r="R515" s="106"/>
      <c r="S515" s="106"/>
    </row>
    <row r="516" spans="1:19" s="105" customFormat="1" ht="37.5">
      <c r="A516" s="106"/>
      <c r="B516" s="194" t="s">
        <v>90</v>
      </c>
      <c r="C516" s="139"/>
      <c r="D516" s="140"/>
      <c r="E516" s="139">
        <v>0.47799999999999998</v>
      </c>
      <c r="F516" s="139"/>
      <c r="G516" s="140"/>
      <c r="H516" s="139">
        <v>1.228</v>
      </c>
      <c r="I516" s="141">
        <f t="shared" si="22"/>
        <v>0.75</v>
      </c>
      <c r="J516" s="142">
        <f t="shared" si="23"/>
        <v>61.074918566775246</v>
      </c>
      <c r="K516" s="175" t="s">
        <v>587</v>
      </c>
      <c r="L516" s="105">
        <f>+L517+L518</f>
        <v>1228000</v>
      </c>
      <c r="N516" s="106"/>
      <c r="O516" s="106"/>
      <c r="P516" s="106"/>
      <c r="Q516" s="106"/>
      <c r="R516" s="106"/>
      <c r="S516" s="106"/>
    </row>
    <row r="517" spans="1:19" s="105" customFormat="1" ht="37.5">
      <c r="A517" s="106"/>
      <c r="B517" s="194"/>
      <c r="C517" s="139"/>
      <c r="D517" s="140"/>
      <c r="E517" s="139"/>
      <c r="F517" s="139"/>
      <c r="G517" s="140"/>
      <c r="H517" s="139"/>
      <c r="I517" s="141"/>
      <c r="J517" s="142"/>
      <c r="K517" s="175" t="s">
        <v>588</v>
      </c>
      <c r="L517" s="105">
        <f>428000+300000</f>
        <v>728000</v>
      </c>
      <c r="N517" s="106"/>
      <c r="O517" s="106"/>
      <c r="P517" s="106"/>
      <c r="Q517" s="106"/>
      <c r="R517" s="106"/>
      <c r="S517" s="106"/>
    </row>
    <row r="518" spans="1:19" s="105" customFormat="1">
      <c r="A518" s="106"/>
      <c r="B518" s="194"/>
      <c r="C518" s="139"/>
      <c r="D518" s="140"/>
      <c r="E518" s="139"/>
      <c r="F518" s="139"/>
      <c r="G518" s="140"/>
      <c r="H518" s="139"/>
      <c r="I518" s="141"/>
      <c r="J518" s="142"/>
      <c r="K518" s="175" t="s">
        <v>623</v>
      </c>
      <c r="L518" s="105">
        <v>500000</v>
      </c>
      <c r="N518" s="106"/>
      <c r="O518" s="106"/>
      <c r="P518" s="106"/>
      <c r="Q518" s="106"/>
      <c r="R518" s="106"/>
      <c r="S518" s="106"/>
    </row>
    <row r="519" spans="1:19" s="105" customFormat="1">
      <c r="A519" s="106"/>
      <c r="B519" s="194"/>
      <c r="C519" s="139"/>
      <c r="D519" s="140"/>
      <c r="E519" s="139"/>
      <c r="F519" s="139"/>
      <c r="G519" s="140"/>
      <c r="H519" s="139"/>
      <c r="I519" s="141"/>
      <c r="J519" s="142"/>
      <c r="K519" s="175"/>
      <c r="N519" s="106"/>
      <c r="O519" s="106"/>
      <c r="P519" s="106"/>
      <c r="Q519" s="106"/>
      <c r="R519" s="106"/>
      <c r="S519" s="106"/>
    </row>
    <row r="520" spans="1:19" s="105" customFormat="1">
      <c r="A520" s="106"/>
      <c r="B520" s="194"/>
      <c r="C520" s="139"/>
      <c r="D520" s="140"/>
      <c r="E520" s="139"/>
      <c r="F520" s="139"/>
      <c r="G520" s="140"/>
      <c r="H520" s="139"/>
      <c r="I520" s="141"/>
      <c r="J520" s="142"/>
      <c r="K520" s="143"/>
      <c r="N520" s="106"/>
      <c r="O520" s="106"/>
      <c r="P520" s="106"/>
      <c r="Q520" s="106"/>
      <c r="R520" s="106"/>
      <c r="S520" s="106"/>
    </row>
    <row r="521" spans="1:19" s="105" customFormat="1">
      <c r="A521" s="106"/>
      <c r="B521" s="194"/>
      <c r="C521" s="139"/>
      <c r="D521" s="140"/>
      <c r="E521" s="139"/>
      <c r="F521" s="139"/>
      <c r="G521" s="140"/>
      <c r="H521" s="139"/>
      <c r="I521" s="141"/>
      <c r="J521" s="142"/>
      <c r="K521" s="143"/>
      <c r="N521" s="106"/>
      <c r="O521" s="106"/>
      <c r="P521" s="106"/>
      <c r="Q521" s="106"/>
      <c r="R521" s="106"/>
      <c r="S521" s="106"/>
    </row>
    <row r="522" spans="1:19" s="105" customFormat="1" ht="56.25">
      <c r="A522" s="106"/>
      <c r="B522" s="194" t="s">
        <v>91</v>
      </c>
      <c r="C522" s="139"/>
      <c r="D522" s="140"/>
      <c r="E522" s="139">
        <v>0.30420000000000003</v>
      </c>
      <c r="F522" s="139"/>
      <c r="G522" s="140"/>
      <c r="H522" s="139">
        <v>1.4537</v>
      </c>
      <c r="I522" s="141">
        <f t="shared" ref="I522:I575" si="24">+H522-E522</f>
        <v>1.1495</v>
      </c>
      <c r="J522" s="142">
        <f t="shared" ref="J522:J575" si="25">+I522*100/H522</f>
        <v>79.074086812960033</v>
      </c>
      <c r="K522" s="175" t="s">
        <v>592</v>
      </c>
      <c r="L522" s="105">
        <f>+L523+L524+L525</f>
        <v>1453700</v>
      </c>
      <c r="N522" s="106"/>
      <c r="O522" s="106"/>
      <c r="P522" s="106"/>
      <c r="Q522" s="106"/>
      <c r="R522" s="106"/>
      <c r="S522" s="106"/>
    </row>
    <row r="523" spans="1:19" s="105" customFormat="1">
      <c r="A523" s="106"/>
      <c r="B523" s="194"/>
      <c r="C523" s="139"/>
      <c r="D523" s="140"/>
      <c r="E523" s="139"/>
      <c r="F523" s="139"/>
      <c r="G523" s="140"/>
      <c r="H523" s="139"/>
      <c r="I523" s="141"/>
      <c r="J523" s="142"/>
      <c r="K523" s="143" t="s">
        <v>591</v>
      </c>
      <c r="L523" s="105">
        <v>1062000</v>
      </c>
      <c r="N523" s="106"/>
      <c r="O523" s="106"/>
      <c r="P523" s="106"/>
      <c r="Q523" s="106"/>
      <c r="R523" s="106"/>
      <c r="S523" s="106"/>
    </row>
    <row r="524" spans="1:19" s="105" customFormat="1">
      <c r="A524" s="106"/>
      <c r="B524" s="194"/>
      <c r="C524" s="139"/>
      <c r="D524" s="140"/>
      <c r="E524" s="139"/>
      <c r="F524" s="139"/>
      <c r="G524" s="140"/>
      <c r="H524" s="139"/>
      <c r="I524" s="141"/>
      <c r="J524" s="142"/>
      <c r="K524" s="143" t="s">
        <v>605</v>
      </c>
      <c r="L524" s="105">
        <v>371700</v>
      </c>
      <c r="N524" s="106"/>
      <c r="O524" s="106"/>
      <c r="P524" s="106"/>
      <c r="Q524" s="106"/>
      <c r="R524" s="106"/>
      <c r="S524" s="106"/>
    </row>
    <row r="525" spans="1:19" s="105" customFormat="1" ht="37.5">
      <c r="A525" s="106"/>
      <c r="B525" s="194" t="s">
        <v>589</v>
      </c>
      <c r="C525" s="139"/>
      <c r="D525" s="140"/>
      <c r="E525" s="139"/>
      <c r="F525" s="139"/>
      <c r="G525" s="140"/>
      <c r="H525" s="139">
        <v>0.02</v>
      </c>
      <c r="I525" s="141">
        <f t="shared" si="24"/>
        <v>0.02</v>
      </c>
      <c r="J525" s="142">
        <f t="shared" si="25"/>
        <v>100</v>
      </c>
      <c r="K525" s="175" t="s">
        <v>590</v>
      </c>
      <c r="L525" s="105">
        <v>20000</v>
      </c>
      <c r="N525" s="106"/>
      <c r="O525" s="106"/>
      <c r="P525" s="106"/>
      <c r="Q525" s="106"/>
      <c r="R525" s="106"/>
      <c r="S525" s="106"/>
    </row>
    <row r="526" spans="1:19" s="105" customFormat="1">
      <c r="A526" s="106"/>
      <c r="B526" s="194"/>
      <c r="C526" s="139"/>
      <c r="D526" s="140"/>
      <c r="E526" s="139"/>
      <c r="F526" s="139"/>
      <c r="G526" s="140"/>
      <c r="H526" s="139"/>
      <c r="I526" s="141"/>
      <c r="J526" s="142"/>
      <c r="K526" s="143"/>
      <c r="N526" s="106"/>
      <c r="O526" s="106"/>
      <c r="P526" s="106"/>
      <c r="Q526" s="106"/>
      <c r="R526" s="106"/>
      <c r="S526" s="106"/>
    </row>
    <row r="527" spans="1:19" s="105" customFormat="1">
      <c r="A527" s="106"/>
      <c r="B527" s="175" t="s">
        <v>45</v>
      </c>
      <c r="C527" s="139"/>
      <c r="D527" s="140"/>
      <c r="E527" s="139">
        <f>+E528</f>
        <v>0.63080000000000003</v>
      </c>
      <c r="F527" s="139"/>
      <c r="G527" s="140"/>
      <c r="H527" s="139">
        <f>+H528</f>
        <v>0.68400000000000005</v>
      </c>
      <c r="I527" s="141">
        <f t="shared" si="24"/>
        <v>5.3200000000000025E-2</v>
      </c>
      <c r="J527" s="142">
        <f t="shared" si="25"/>
        <v>7.7777777777777803</v>
      </c>
      <c r="K527" s="143"/>
      <c r="N527" s="106"/>
      <c r="O527" s="106"/>
      <c r="P527" s="106"/>
      <c r="Q527" s="106"/>
      <c r="R527" s="106"/>
      <c r="S527" s="106"/>
    </row>
    <row r="528" spans="1:19" s="105" customFormat="1" ht="37.5">
      <c r="A528" s="106"/>
      <c r="B528" s="194" t="s">
        <v>92</v>
      </c>
      <c r="C528" s="139"/>
      <c r="D528" s="140"/>
      <c r="E528" s="139">
        <v>0.63080000000000003</v>
      </c>
      <c r="F528" s="139"/>
      <c r="G528" s="140"/>
      <c r="H528" s="139">
        <v>0.68400000000000005</v>
      </c>
      <c r="I528" s="141">
        <f t="shared" si="24"/>
        <v>5.3200000000000025E-2</v>
      </c>
      <c r="J528" s="142">
        <f t="shared" si="25"/>
        <v>7.7777777777777803</v>
      </c>
      <c r="K528" s="175" t="s">
        <v>606</v>
      </c>
      <c r="N528" s="106"/>
      <c r="O528" s="106"/>
      <c r="P528" s="106"/>
      <c r="Q528" s="106"/>
      <c r="R528" s="106"/>
      <c r="S528" s="106"/>
    </row>
    <row r="529" spans="1:19" s="105" customFormat="1">
      <c r="A529" s="106"/>
      <c r="B529" s="194"/>
      <c r="C529" s="139"/>
      <c r="D529" s="140"/>
      <c r="E529" s="139"/>
      <c r="F529" s="139"/>
      <c r="G529" s="140"/>
      <c r="H529" s="139"/>
      <c r="I529" s="141"/>
      <c r="J529" s="142"/>
      <c r="K529" s="143"/>
      <c r="N529" s="106"/>
      <c r="O529" s="106"/>
      <c r="P529" s="106"/>
      <c r="Q529" s="106"/>
      <c r="R529" s="106"/>
      <c r="S529" s="106"/>
    </row>
    <row r="530" spans="1:19" s="105" customFormat="1">
      <c r="A530" s="106"/>
      <c r="B530" s="175" t="s">
        <v>46</v>
      </c>
      <c r="C530" s="139"/>
      <c r="D530" s="140"/>
      <c r="E530" s="139"/>
      <c r="F530" s="139"/>
      <c r="G530" s="140"/>
      <c r="H530" s="139"/>
      <c r="I530" s="139"/>
      <c r="J530" s="139"/>
      <c r="K530" s="143"/>
      <c r="N530" s="106"/>
      <c r="O530" s="106"/>
      <c r="P530" s="106"/>
      <c r="Q530" s="106"/>
      <c r="R530" s="106"/>
      <c r="S530" s="106"/>
    </row>
    <row r="531" spans="1:19" s="105" customFormat="1">
      <c r="A531" s="106"/>
      <c r="B531" s="175" t="s">
        <v>47</v>
      </c>
      <c r="C531" s="139"/>
      <c r="D531" s="140"/>
      <c r="E531" s="139"/>
      <c r="F531" s="139"/>
      <c r="G531" s="140"/>
      <c r="H531" s="139"/>
      <c r="I531" s="141"/>
      <c r="J531" s="142"/>
      <c r="K531" s="143"/>
      <c r="N531" s="106"/>
      <c r="O531" s="106"/>
      <c r="P531" s="106"/>
      <c r="Q531" s="106"/>
      <c r="R531" s="106"/>
      <c r="S531" s="106"/>
    </row>
    <row r="532" spans="1:19" s="105" customFormat="1">
      <c r="A532" s="106"/>
      <c r="B532" s="175" t="s">
        <v>19</v>
      </c>
      <c r="C532" s="139"/>
      <c r="D532" s="140"/>
      <c r="E532" s="139"/>
      <c r="F532" s="139"/>
      <c r="G532" s="140"/>
      <c r="H532" s="139"/>
      <c r="I532" s="141"/>
      <c r="J532" s="142"/>
      <c r="K532" s="143"/>
      <c r="N532" s="106"/>
      <c r="O532" s="106"/>
      <c r="P532" s="106"/>
      <c r="Q532" s="106"/>
      <c r="R532" s="106"/>
      <c r="S532" s="106"/>
    </row>
    <row r="533" spans="1:19" s="105" customFormat="1">
      <c r="A533" s="106"/>
      <c r="B533" s="175" t="s">
        <v>48</v>
      </c>
      <c r="C533" s="139"/>
      <c r="D533" s="140"/>
      <c r="E533" s="139"/>
      <c r="F533" s="139"/>
      <c r="G533" s="140"/>
      <c r="H533" s="139"/>
      <c r="I533" s="141"/>
      <c r="J533" s="142"/>
      <c r="K533" s="143"/>
      <c r="N533" s="106"/>
      <c r="O533" s="106"/>
      <c r="P533" s="106"/>
      <c r="Q533" s="106"/>
      <c r="R533" s="106"/>
      <c r="S533" s="106"/>
    </row>
    <row r="534" spans="1:19" s="105" customFormat="1">
      <c r="A534" s="106"/>
      <c r="B534" s="194" t="s">
        <v>17</v>
      </c>
      <c r="C534" s="139"/>
      <c r="D534" s="140"/>
      <c r="E534" s="139"/>
      <c r="F534" s="139"/>
      <c r="G534" s="140"/>
      <c r="H534" s="139"/>
      <c r="I534" s="141"/>
      <c r="J534" s="142"/>
      <c r="K534" s="143"/>
      <c r="N534" s="106"/>
      <c r="O534" s="106"/>
      <c r="P534" s="106"/>
      <c r="Q534" s="106"/>
      <c r="R534" s="106"/>
      <c r="S534" s="106"/>
    </row>
    <row r="535" spans="1:19" s="105" customFormat="1">
      <c r="A535" s="106"/>
      <c r="B535" s="194" t="s">
        <v>18</v>
      </c>
      <c r="C535" s="139"/>
      <c r="D535" s="140"/>
      <c r="E535" s="139"/>
      <c r="F535" s="139"/>
      <c r="G535" s="140"/>
      <c r="H535" s="139"/>
      <c r="I535" s="141"/>
      <c r="J535" s="142"/>
      <c r="K535" s="143"/>
      <c r="N535" s="106"/>
      <c r="O535" s="106"/>
      <c r="P535" s="106"/>
      <c r="Q535" s="106"/>
      <c r="R535" s="106"/>
      <c r="S535" s="106"/>
    </row>
    <row r="536" spans="1:19" s="105" customFormat="1">
      <c r="A536" s="106"/>
      <c r="B536" s="175" t="s">
        <v>22</v>
      </c>
      <c r="C536" s="139"/>
      <c r="D536" s="140"/>
      <c r="E536" s="139"/>
      <c r="F536" s="139"/>
      <c r="G536" s="140"/>
      <c r="H536" s="139"/>
      <c r="I536" s="141"/>
      <c r="J536" s="142"/>
      <c r="K536" s="143"/>
      <c r="N536" s="106"/>
      <c r="O536" s="106"/>
      <c r="P536" s="106"/>
      <c r="Q536" s="106"/>
      <c r="R536" s="106"/>
      <c r="S536" s="106"/>
    </row>
    <row r="537" spans="1:19" s="105" customFormat="1">
      <c r="A537" s="106"/>
      <c r="B537" s="175" t="s">
        <v>48</v>
      </c>
      <c r="C537" s="139"/>
      <c r="D537" s="140"/>
      <c r="E537" s="139"/>
      <c r="F537" s="139"/>
      <c r="G537" s="140"/>
      <c r="H537" s="139"/>
      <c r="I537" s="141"/>
      <c r="J537" s="142"/>
      <c r="K537" s="143"/>
      <c r="N537" s="106"/>
      <c r="O537" s="106"/>
      <c r="P537" s="106"/>
      <c r="Q537" s="106"/>
      <c r="R537" s="106"/>
      <c r="S537" s="106"/>
    </row>
    <row r="538" spans="1:19" s="105" customFormat="1">
      <c r="A538" s="106"/>
      <c r="B538" s="194" t="s">
        <v>23</v>
      </c>
      <c r="C538" s="139"/>
      <c r="D538" s="140"/>
      <c r="E538" s="139"/>
      <c r="F538" s="139"/>
      <c r="G538" s="140"/>
      <c r="H538" s="139"/>
      <c r="I538" s="141"/>
      <c r="J538" s="142"/>
      <c r="K538" s="143"/>
      <c r="N538" s="106"/>
      <c r="O538" s="106"/>
      <c r="P538" s="106"/>
      <c r="Q538" s="106"/>
      <c r="R538" s="106"/>
      <c r="S538" s="106"/>
    </row>
    <row r="539" spans="1:19" s="105" customFormat="1">
      <c r="A539" s="106"/>
      <c r="B539" s="175" t="s">
        <v>20</v>
      </c>
      <c r="C539" s="139"/>
      <c r="D539" s="140"/>
      <c r="E539" s="139"/>
      <c r="F539" s="139"/>
      <c r="G539" s="140"/>
      <c r="H539" s="139"/>
      <c r="I539" s="141"/>
      <c r="J539" s="142"/>
      <c r="K539" s="143"/>
      <c r="N539" s="106"/>
      <c r="O539" s="106"/>
      <c r="P539" s="106"/>
      <c r="Q539" s="106"/>
      <c r="R539" s="106"/>
      <c r="S539" s="106"/>
    </row>
    <row r="540" spans="1:19" s="105" customFormat="1">
      <c r="A540" s="106"/>
      <c r="B540" s="175" t="s">
        <v>48</v>
      </c>
      <c r="C540" s="139"/>
      <c r="D540" s="140"/>
      <c r="E540" s="139"/>
      <c r="F540" s="139"/>
      <c r="G540" s="140"/>
      <c r="H540" s="139"/>
      <c r="I540" s="141"/>
      <c r="J540" s="142"/>
      <c r="K540" s="143"/>
      <c r="N540" s="106"/>
      <c r="O540" s="106"/>
      <c r="P540" s="106"/>
      <c r="Q540" s="106"/>
      <c r="R540" s="106"/>
      <c r="S540" s="106"/>
    </row>
    <row r="541" spans="1:19" s="105" customFormat="1">
      <c r="A541" s="106"/>
      <c r="B541" s="194" t="s">
        <v>23</v>
      </c>
      <c r="C541" s="139"/>
      <c r="D541" s="140"/>
      <c r="E541" s="139"/>
      <c r="F541" s="139"/>
      <c r="G541" s="140"/>
      <c r="H541" s="139"/>
      <c r="I541" s="141"/>
      <c r="J541" s="142"/>
      <c r="K541" s="143"/>
      <c r="N541" s="106"/>
      <c r="O541" s="106"/>
      <c r="P541" s="106"/>
      <c r="Q541" s="106"/>
      <c r="R541" s="106"/>
      <c r="S541" s="106"/>
    </row>
    <row r="542" spans="1:19" s="105" customFormat="1">
      <c r="A542" s="106"/>
      <c r="B542" s="175" t="s">
        <v>49</v>
      </c>
      <c r="C542" s="139"/>
      <c r="D542" s="140"/>
      <c r="E542" s="139"/>
      <c r="F542" s="139"/>
      <c r="G542" s="140"/>
      <c r="H542" s="139"/>
      <c r="I542" s="141"/>
      <c r="J542" s="142"/>
      <c r="K542" s="143"/>
      <c r="N542" s="106"/>
      <c r="O542" s="106"/>
      <c r="P542" s="106"/>
      <c r="Q542" s="106"/>
      <c r="R542" s="106"/>
      <c r="S542" s="106"/>
    </row>
    <row r="543" spans="1:19" s="105" customFormat="1">
      <c r="A543" s="106"/>
      <c r="B543" s="175" t="s">
        <v>19</v>
      </c>
      <c r="C543" s="139"/>
      <c r="D543" s="140"/>
      <c r="E543" s="139"/>
      <c r="F543" s="139"/>
      <c r="G543" s="140"/>
      <c r="H543" s="139"/>
      <c r="I543" s="141"/>
      <c r="J543" s="142"/>
      <c r="K543" s="143"/>
      <c r="N543" s="106"/>
      <c r="O543" s="106"/>
      <c r="P543" s="106"/>
      <c r="Q543" s="106"/>
      <c r="R543" s="106"/>
      <c r="S543" s="106"/>
    </row>
    <row r="544" spans="1:19" s="105" customFormat="1">
      <c r="A544" s="106"/>
      <c r="B544" s="175" t="s">
        <v>50</v>
      </c>
      <c r="C544" s="139"/>
      <c r="D544" s="140"/>
      <c r="E544" s="139"/>
      <c r="F544" s="139"/>
      <c r="G544" s="140"/>
      <c r="H544" s="139"/>
      <c r="I544" s="141"/>
      <c r="J544" s="142"/>
      <c r="K544" s="143"/>
      <c r="N544" s="106"/>
      <c r="O544" s="106"/>
      <c r="P544" s="106"/>
      <c r="Q544" s="106"/>
      <c r="R544" s="106"/>
      <c r="S544" s="106"/>
    </row>
    <row r="545" spans="1:19" s="105" customFormat="1">
      <c r="A545" s="106"/>
      <c r="B545" s="194" t="s">
        <v>17</v>
      </c>
      <c r="C545" s="139"/>
      <c r="D545" s="140"/>
      <c r="E545" s="139"/>
      <c r="F545" s="139"/>
      <c r="G545" s="140"/>
      <c r="H545" s="139"/>
      <c r="I545" s="141"/>
      <c r="J545" s="142"/>
      <c r="K545" s="143"/>
      <c r="N545" s="106"/>
      <c r="O545" s="106"/>
      <c r="P545" s="106"/>
      <c r="Q545" s="106"/>
      <c r="R545" s="106"/>
      <c r="S545" s="106"/>
    </row>
    <row r="546" spans="1:19" s="105" customFormat="1">
      <c r="A546" s="106"/>
      <c r="B546" s="194" t="s">
        <v>18</v>
      </c>
      <c r="C546" s="139"/>
      <c r="D546" s="140"/>
      <c r="E546" s="139"/>
      <c r="F546" s="139"/>
      <c r="G546" s="140"/>
      <c r="H546" s="139"/>
      <c r="I546" s="141"/>
      <c r="J546" s="142"/>
      <c r="K546" s="143"/>
      <c r="N546" s="106"/>
      <c r="O546" s="106"/>
      <c r="P546" s="106"/>
      <c r="Q546" s="106"/>
      <c r="R546" s="106"/>
      <c r="S546" s="106"/>
    </row>
    <row r="547" spans="1:19" s="105" customFormat="1">
      <c r="A547" s="106"/>
      <c r="B547" s="175" t="s">
        <v>22</v>
      </c>
      <c r="C547" s="139"/>
      <c r="D547" s="140"/>
      <c r="E547" s="139"/>
      <c r="F547" s="139"/>
      <c r="G547" s="140"/>
      <c r="H547" s="139"/>
      <c r="I547" s="141"/>
      <c r="J547" s="142"/>
      <c r="K547" s="143"/>
      <c r="N547" s="106"/>
      <c r="O547" s="106"/>
      <c r="P547" s="106"/>
      <c r="Q547" s="106"/>
      <c r="R547" s="106"/>
      <c r="S547" s="106"/>
    </row>
    <row r="548" spans="1:19" s="105" customFormat="1">
      <c r="A548" s="106"/>
      <c r="B548" s="175" t="s">
        <v>51</v>
      </c>
      <c r="C548" s="139"/>
      <c r="D548" s="140"/>
      <c r="E548" s="139"/>
      <c r="F548" s="139"/>
      <c r="G548" s="140"/>
      <c r="H548" s="139"/>
      <c r="I548" s="141"/>
      <c r="J548" s="142"/>
      <c r="K548" s="143"/>
      <c r="N548" s="106"/>
      <c r="O548" s="106"/>
      <c r="P548" s="106"/>
      <c r="Q548" s="106"/>
      <c r="R548" s="106"/>
      <c r="S548" s="106"/>
    </row>
    <row r="549" spans="1:19" s="105" customFormat="1">
      <c r="A549" s="106"/>
      <c r="B549" s="194" t="s">
        <v>23</v>
      </c>
      <c r="C549" s="139"/>
      <c r="D549" s="140"/>
      <c r="E549" s="139"/>
      <c r="F549" s="139"/>
      <c r="G549" s="140"/>
      <c r="H549" s="139"/>
      <c r="I549" s="141"/>
      <c r="J549" s="142"/>
      <c r="K549" s="143"/>
      <c r="N549" s="106"/>
      <c r="O549" s="106"/>
      <c r="P549" s="106"/>
      <c r="Q549" s="106"/>
      <c r="R549" s="106"/>
      <c r="S549" s="106"/>
    </row>
    <row r="550" spans="1:19" s="105" customFormat="1">
      <c r="A550" s="106"/>
      <c r="B550" s="175" t="s">
        <v>20</v>
      </c>
      <c r="C550" s="139"/>
      <c r="D550" s="140"/>
      <c r="E550" s="139"/>
      <c r="F550" s="139"/>
      <c r="G550" s="140"/>
      <c r="H550" s="139"/>
      <c r="I550" s="141"/>
      <c r="J550" s="142"/>
      <c r="K550" s="143"/>
      <c r="N550" s="106"/>
      <c r="O550" s="106"/>
      <c r="P550" s="106"/>
      <c r="Q550" s="106"/>
      <c r="R550" s="106"/>
      <c r="S550" s="106"/>
    </row>
    <row r="551" spans="1:19" s="105" customFormat="1">
      <c r="A551" s="106"/>
      <c r="B551" s="175" t="s">
        <v>51</v>
      </c>
      <c r="C551" s="139"/>
      <c r="D551" s="140"/>
      <c r="E551" s="139"/>
      <c r="F551" s="139"/>
      <c r="G551" s="140"/>
      <c r="H551" s="139"/>
      <c r="I551" s="141"/>
      <c r="J551" s="142"/>
      <c r="K551" s="143"/>
      <c r="N551" s="106"/>
      <c r="O551" s="106"/>
      <c r="P551" s="106"/>
      <c r="Q551" s="106"/>
      <c r="R551" s="106"/>
      <c r="S551" s="106"/>
    </row>
    <row r="552" spans="1:19" s="105" customFormat="1">
      <c r="A552" s="106"/>
      <c r="B552" s="194" t="s">
        <v>23</v>
      </c>
      <c r="C552" s="139"/>
      <c r="D552" s="140"/>
      <c r="E552" s="139"/>
      <c r="F552" s="139"/>
      <c r="G552" s="140"/>
      <c r="H552" s="139"/>
      <c r="I552" s="141"/>
      <c r="J552" s="142"/>
      <c r="K552" s="143"/>
      <c r="N552" s="106"/>
      <c r="O552" s="106"/>
      <c r="P552" s="106"/>
      <c r="Q552" s="106"/>
      <c r="R552" s="106"/>
      <c r="S552" s="106"/>
    </row>
    <row r="553" spans="1:19" s="105" customFormat="1">
      <c r="A553" s="106"/>
      <c r="B553" s="175" t="s">
        <v>53</v>
      </c>
      <c r="C553" s="139"/>
      <c r="D553" s="140"/>
      <c r="E553" s="139"/>
      <c r="F553" s="139"/>
      <c r="G553" s="140"/>
      <c r="H553" s="139"/>
      <c r="I553" s="139"/>
      <c r="J553" s="139"/>
      <c r="K553" s="143"/>
      <c r="N553" s="106"/>
      <c r="O553" s="106"/>
      <c r="P553" s="106"/>
      <c r="Q553" s="106"/>
      <c r="R553" s="106"/>
      <c r="S553" s="106"/>
    </row>
    <row r="554" spans="1:19" s="105" customFormat="1">
      <c r="A554" s="106"/>
      <c r="B554" s="175" t="s">
        <v>52</v>
      </c>
      <c r="C554" s="139"/>
      <c r="D554" s="140"/>
      <c r="E554" s="139"/>
      <c r="F554" s="139"/>
      <c r="G554" s="140"/>
      <c r="H554" s="139"/>
      <c r="I554" s="139"/>
      <c r="J554" s="139"/>
      <c r="K554" s="143"/>
      <c r="N554" s="106"/>
      <c r="O554" s="106"/>
      <c r="P554" s="106"/>
      <c r="Q554" s="106"/>
      <c r="R554" s="106"/>
      <c r="S554" s="106"/>
    </row>
    <row r="555" spans="1:19" ht="37.5">
      <c r="B555" s="175" t="s">
        <v>54</v>
      </c>
      <c r="C555" s="139"/>
      <c r="D555" s="140"/>
      <c r="E555" s="139"/>
      <c r="F555" s="139"/>
      <c r="G555" s="140"/>
      <c r="H555" s="139"/>
      <c r="I555" s="139"/>
      <c r="J555" s="139"/>
      <c r="K555" s="143"/>
    </row>
    <row r="556" spans="1:19">
      <c r="B556" s="175" t="s">
        <v>55</v>
      </c>
      <c r="C556" s="139"/>
      <c r="D556" s="140"/>
      <c r="E556" s="139"/>
      <c r="F556" s="139"/>
      <c r="G556" s="140"/>
      <c r="H556" s="139"/>
      <c r="I556" s="139"/>
      <c r="J556" s="139"/>
      <c r="K556" s="143"/>
    </row>
    <row r="557" spans="1:19" ht="37.5">
      <c r="B557" s="175" t="s">
        <v>54</v>
      </c>
      <c r="C557" s="139"/>
      <c r="D557" s="140"/>
      <c r="E557" s="139"/>
      <c r="F557" s="139"/>
      <c r="G557" s="140"/>
      <c r="H557" s="139"/>
      <c r="I557" s="139"/>
      <c r="J557" s="139"/>
      <c r="K557" s="143"/>
    </row>
    <row r="558" spans="1:19">
      <c r="B558" s="175" t="s">
        <v>56</v>
      </c>
      <c r="C558" s="139"/>
      <c r="D558" s="140"/>
      <c r="E558" s="139">
        <f>+E559</f>
        <v>1</v>
      </c>
      <c r="F558" s="139"/>
      <c r="G558" s="140"/>
      <c r="H558" s="139">
        <f>+H559</f>
        <v>4.75</v>
      </c>
      <c r="I558" s="141">
        <f t="shared" si="24"/>
        <v>3.75</v>
      </c>
      <c r="J558" s="142">
        <f t="shared" si="25"/>
        <v>78.94736842105263</v>
      </c>
      <c r="K558" s="143"/>
    </row>
    <row r="559" spans="1:19" ht="75">
      <c r="B559" s="175" t="s">
        <v>93</v>
      </c>
      <c r="C559" s="139"/>
      <c r="D559" s="140"/>
      <c r="E559" s="139">
        <v>1</v>
      </c>
      <c r="F559" s="139"/>
      <c r="G559" s="140"/>
      <c r="H559" s="139">
        <v>4.75</v>
      </c>
      <c r="I559" s="141">
        <f t="shared" si="24"/>
        <v>3.75</v>
      </c>
      <c r="J559" s="142">
        <f t="shared" si="25"/>
        <v>78.94736842105263</v>
      </c>
      <c r="K559" s="175" t="s">
        <v>621</v>
      </c>
    </row>
    <row r="560" spans="1:19" ht="27.75" customHeight="1">
      <c r="B560" s="286" t="s">
        <v>129</v>
      </c>
      <c r="C560" s="139"/>
      <c r="D560" s="140"/>
      <c r="E560" s="139">
        <f>+E562+E673+E696+E701</f>
        <v>602.11789999999996</v>
      </c>
      <c r="F560" s="139"/>
      <c r="G560" s="140"/>
      <c r="H560" s="139">
        <f>+H562+H673+H696+H701</f>
        <v>926.56790000000012</v>
      </c>
      <c r="I560" s="141">
        <f t="shared" si="24"/>
        <v>324.45000000000016</v>
      </c>
      <c r="J560" s="142">
        <f t="shared" si="25"/>
        <v>35.016322063391158</v>
      </c>
      <c r="K560" s="143"/>
    </row>
    <row r="561" spans="2:14" ht="27.75" customHeight="1">
      <c r="B561" s="245" t="s">
        <v>94</v>
      </c>
      <c r="C561" s="139"/>
      <c r="D561" s="140"/>
      <c r="E561" s="139"/>
      <c r="F561" s="139"/>
      <c r="G561" s="329"/>
      <c r="H561" s="139"/>
      <c r="I561" s="143"/>
      <c r="J561" s="143"/>
      <c r="K561" s="143"/>
    </row>
    <row r="562" spans="2:14">
      <c r="B562" s="175" t="s">
        <v>38</v>
      </c>
      <c r="C562" s="139"/>
      <c r="D562" s="140"/>
      <c r="E562" s="139">
        <f>+E563+E667</f>
        <v>358.60629999999998</v>
      </c>
      <c r="F562" s="139"/>
      <c r="G562" s="140"/>
      <c r="H562" s="139">
        <f>+H563+H667</f>
        <v>406.51950000000005</v>
      </c>
      <c r="I562" s="141">
        <f t="shared" si="24"/>
        <v>47.913200000000074</v>
      </c>
      <c r="J562" s="142">
        <f t="shared" si="25"/>
        <v>11.786199677998242</v>
      </c>
      <c r="K562" s="143"/>
    </row>
    <row r="563" spans="2:14">
      <c r="B563" s="175" t="s">
        <v>41</v>
      </c>
      <c r="C563" s="139"/>
      <c r="D563" s="140"/>
      <c r="E563" s="139">
        <f>+E564+E582+E623</f>
        <v>342.45069999999998</v>
      </c>
      <c r="F563" s="139"/>
      <c r="G563" s="140"/>
      <c r="H563" s="139">
        <f>+H564+H582+H623</f>
        <v>371.21310000000005</v>
      </c>
      <c r="I563" s="141">
        <f t="shared" si="24"/>
        <v>28.762400000000071</v>
      </c>
      <c r="J563" s="142">
        <f t="shared" si="25"/>
        <v>7.7482179373519058</v>
      </c>
      <c r="K563" s="143"/>
    </row>
    <row r="564" spans="2:14">
      <c r="B564" s="175" t="s">
        <v>42</v>
      </c>
      <c r="C564" s="139"/>
      <c r="D564" s="140"/>
      <c r="E564" s="139">
        <f>SUM(E565:E575)</f>
        <v>2.5139</v>
      </c>
      <c r="F564" s="139"/>
      <c r="G564" s="140"/>
      <c r="H564" s="139">
        <f>SUM(H565:H575)</f>
        <v>7.5184999999999995</v>
      </c>
      <c r="I564" s="141">
        <f t="shared" si="24"/>
        <v>5.0045999999999999</v>
      </c>
      <c r="J564" s="142">
        <f t="shared" si="25"/>
        <v>66.56380927046618</v>
      </c>
      <c r="K564" s="143"/>
    </row>
    <row r="565" spans="2:14" ht="37.5">
      <c r="B565" s="194" t="s">
        <v>112</v>
      </c>
      <c r="C565" s="139"/>
      <c r="D565" s="140"/>
      <c r="E565" s="139">
        <v>0.17280000000000001</v>
      </c>
      <c r="F565" s="139"/>
      <c r="G565" s="140"/>
      <c r="H565" s="139">
        <f>2.7312+0.168</f>
        <v>2.8992</v>
      </c>
      <c r="I565" s="141">
        <f t="shared" si="24"/>
        <v>2.7263999999999999</v>
      </c>
      <c r="J565" s="142">
        <f t="shared" si="25"/>
        <v>94.039735099337747</v>
      </c>
      <c r="K565" s="175" t="s">
        <v>718</v>
      </c>
      <c r="L565" s="105">
        <f>+L566+L567</f>
        <v>2731200</v>
      </c>
    </row>
    <row r="566" spans="2:14">
      <c r="B566" s="194"/>
      <c r="C566" s="139"/>
      <c r="D566" s="140"/>
      <c r="E566" s="139"/>
      <c r="F566" s="139"/>
      <c r="G566" s="140"/>
      <c r="H566" s="139"/>
      <c r="I566" s="141"/>
      <c r="J566" s="142"/>
      <c r="K566" s="143" t="s">
        <v>719</v>
      </c>
      <c r="L566" s="105">
        <v>259200</v>
      </c>
    </row>
    <row r="567" spans="2:14">
      <c r="B567" s="194"/>
      <c r="C567" s="139"/>
      <c r="D567" s="140"/>
      <c r="E567" s="139"/>
      <c r="F567" s="139"/>
      <c r="G567" s="140"/>
      <c r="H567" s="139"/>
      <c r="I567" s="141"/>
      <c r="J567" s="142"/>
      <c r="K567" s="143" t="s">
        <v>725</v>
      </c>
      <c r="L567" s="105">
        <v>2472000</v>
      </c>
    </row>
    <row r="568" spans="2:14">
      <c r="B568" s="194"/>
      <c r="C568" s="139"/>
      <c r="D568" s="140"/>
      <c r="E568" s="139"/>
      <c r="F568" s="139"/>
      <c r="G568" s="140"/>
      <c r="H568" s="139"/>
      <c r="I568" s="141"/>
      <c r="J568" s="142"/>
      <c r="K568" s="143"/>
    </row>
    <row r="569" spans="2:14" ht="37.5">
      <c r="B569" s="194" t="s">
        <v>130</v>
      </c>
      <c r="C569" s="139"/>
      <c r="D569" s="140"/>
      <c r="E569" s="139">
        <v>0.65029999999999999</v>
      </c>
      <c r="F569" s="139"/>
      <c r="G569" s="140"/>
      <c r="H569" s="139">
        <v>0.67200000000000004</v>
      </c>
      <c r="I569" s="141">
        <f t="shared" si="24"/>
        <v>2.1700000000000053E-2</v>
      </c>
      <c r="J569" s="142">
        <f t="shared" si="25"/>
        <v>3.2291666666666745</v>
      </c>
      <c r="K569" s="175" t="s">
        <v>996</v>
      </c>
      <c r="L569" s="105">
        <f>SUM(L570:L572)</f>
        <v>672000</v>
      </c>
      <c r="M569" s="324"/>
      <c r="N569" s="324"/>
    </row>
    <row r="570" spans="2:14">
      <c r="B570" s="194"/>
      <c r="C570" s="139"/>
      <c r="D570" s="140"/>
      <c r="E570" s="139"/>
      <c r="F570" s="139"/>
      <c r="G570" s="140"/>
      <c r="H570" s="139"/>
      <c r="I570" s="141"/>
      <c r="J570" s="142"/>
      <c r="K570" s="175" t="s">
        <v>993</v>
      </c>
      <c r="L570" s="105">
        <v>180000</v>
      </c>
      <c r="M570" s="324"/>
      <c r="N570" s="324"/>
    </row>
    <row r="571" spans="2:14">
      <c r="B571" s="194"/>
      <c r="C571" s="139"/>
      <c r="D571" s="140"/>
      <c r="E571" s="139"/>
      <c r="F571" s="139"/>
      <c r="G571" s="140"/>
      <c r="H571" s="139"/>
      <c r="I571" s="141"/>
      <c r="J571" s="142"/>
      <c r="K571" s="175" t="s">
        <v>994</v>
      </c>
      <c r="L571" s="105">
        <v>252000</v>
      </c>
      <c r="M571" s="324"/>
      <c r="N571" s="324"/>
    </row>
    <row r="572" spans="2:14">
      <c r="B572" s="194"/>
      <c r="C572" s="139"/>
      <c r="D572" s="140"/>
      <c r="E572" s="139"/>
      <c r="F572" s="139"/>
      <c r="G572" s="140"/>
      <c r="H572" s="139"/>
      <c r="I572" s="141"/>
      <c r="J572" s="142"/>
      <c r="K572" s="175" t="s">
        <v>995</v>
      </c>
      <c r="L572" s="105">
        <v>240000</v>
      </c>
      <c r="M572" s="324"/>
      <c r="N572" s="324"/>
    </row>
    <row r="573" spans="2:14">
      <c r="B573" s="194"/>
      <c r="C573" s="139"/>
      <c r="D573" s="140"/>
      <c r="E573" s="139"/>
      <c r="F573" s="139"/>
      <c r="G573" s="140"/>
      <c r="H573" s="139"/>
      <c r="I573" s="141"/>
      <c r="J573" s="142"/>
      <c r="K573" s="175"/>
      <c r="M573" s="324"/>
      <c r="N573" s="324"/>
    </row>
    <row r="574" spans="2:14" ht="93.75">
      <c r="B574" s="194" t="s">
        <v>672</v>
      </c>
      <c r="C574" s="139"/>
      <c r="D574" s="140"/>
      <c r="E574" s="139"/>
      <c r="F574" s="139"/>
      <c r="G574" s="140"/>
      <c r="H574" s="139">
        <v>1.8</v>
      </c>
      <c r="I574" s="141">
        <f t="shared" si="24"/>
        <v>1.8</v>
      </c>
      <c r="J574" s="142">
        <f t="shared" si="25"/>
        <v>100</v>
      </c>
      <c r="K574" s="175" t="s">
        <v>673</v>
      </c>
    </row>
    <row r="575" spans="2:14" ht="52.5" customHeight="1">
      <c r="B575" s="194" t="s">
        <v>114</v>
      </c>
      <c r="C575" s="139"/>
      <c r="D575" s="140"/>
      <c r="E575" s="139">
        <v>1.6908000000000001</v>
      </c>
      <c r="F575" s="139"/>
      <c r="G575" s="140"/>
      <c r="H575" s="139">
        <v>2.1473</v>
      </c>
      <c r="I575" s="141">
        <f t="shared" si="24"/>
        <v>0.45649999999999991</v>
      </c>
      <c r="J575" s="142">
        <f t="shared" si="25"/>
        <v>21.259255809621383</v>
      </c>
      <c r="K575" s="236" t="s">
        <v>680</v>
      </c>
      <c r="L575" s="105">
        <f>+L576+L578</f>
        <v>2147300</v>
      </c>
    </row>
    <row r="576" spans="2:14" ht="30.75" customHeight="1">
      <c r="B576" s="194"/>
      <c r="C576" s="139"/>
      <c r="D576" s="140"/>
      <c r="E576" s="139"/>
      <c r="F576" s="139"/>
      <c r="G576" s="140"/>
      <c r="H576" s="139"/>
      <c r="I576" s="141"/>
      <c r="J576" s="142"/>
      <c r="K576" s="236" t="s">
        <v>681</v>
      </c>
      <c r="L576" s="105">
        <v>1955300</v>
      </c>
    </row>
    <row r="577" spans="1:19" ht="31.5" customHeight="1">
      <c r="B577" s="194"/>
      <c r="C577" s="139"/>
      <c r="D577" s="140"/>
      <c r="E577" s="139"/>
      <c r="F577" s="139"/>
      <c r="G577" s="140"/>
      <c r="H577" s="139"/>
      <c r="I577" s="141"/>
      <c r="J577" s="142"/>
      <c r="K577" s="236" t="s">
        <v>682</v>
      </c>
    </row>
    <row r="578" spans="1:19" ht="31.5" customHeight="1">
      <c r="B578" s="194"/>
      <c r="C578" s="139"/>
      <c r="D578" s="140"/>
      <c r="E578" s="139"/>
      <c r="F578" s="139"/>
      <c r="G578" s="140"/>
      <c r="H578" s="139"/>
      <c r="I578" s="141"/>
      <c r="J578" s="142"/>
      <c r="K578" s="236" t="s">
        <v>717</v>
      </c>
      <c r="L578" s="105">
        <v>192000</v>
      </c>
    </row>
    <row r="579" spans="1:19" ht="31.5" customHeight="1">
      <c r="B579" s="194"/>
      <c r="C579" s="139"/>
      <c r="D579" s="140"/>
      <c r="E579" s="139"/>
      <c r="F579" s="139"/>
      <c r="G579" s="140"/>
      <c r="H579" s="139"/>
      <c r="I579" s="141"/>
      <c r="J579" s="142"/>
      <c r="K579" s="236"/>
    </row>
    <row r="580" spans="1:19" ht="31.5" customHeight="1">
      <c r="B580" s="194"/>
      <c r="C580" s="139"/>
      <c r="D580" s="140"/>
      <c r="E580" s="139"/>
      <c r="F580" s="139"/>
      <c r="G580" s="140"/>
      <c r="H580" s="139"/>
      <c r="I580" s="141"/>
      <c r="J580" s="142"/>
      <c r="K580" s="236"/>
    </row>
    <row r="581" spans="1:19" ht="30" customHeight="1">
      <c r="B581" s="194"/>
      <c r="C581" s="139"/>
      <c r="D581" s="140"/>
      <c r="E581" s="139"/>
      <c r="F581" s="139"/>
      <c r="G581" s="140"/>
      <c r="H581" s="139"/>
      <c r="I581" s="141"/>
      <c r="J581" s="142"/>
      <c r="K581" s="236"/>
    </row>
    <row r="582" spans="1:19" ht="21">
      <c r="B582" s="175" t="s">
        <v>43</v>
      </c>
      <c r="C582" s="139"/>
      <c r="D582" s="140"/>
      <c r="E582" s="139">
        <f>SUM(E584:E612)</f>
        <v>50.472000000000001</v>
      </c>
      <c r="F582" s="139"/>
      <c r="G582" s="140"/>
      <c r="H582" s="139">
        <f>SUM(H584:H612)</f>
        <v>41.730699999999999</v>
      </c>
      <c r="I582" s="141">
        <f t="shared" ref="I582:I636" si="26">+H582-E582</f>
        <v>-8.7413000000000025</v>
      </c>
      <c r="J582" s="142">
        <f t="shared" ref="J582:J636" si="27">+I582*100/H582</f>
        <v>-20.946928759881821</v>
      </c>
      <c r="K582" s="330"/>
    </row>
    <row r="583" spans="1:19">
      <c r="B583" s="175" t="s">
        <v>19</v>
      </c>
      <c r="C583" s="139"/>
      <c r="D583" s="140"/>
      <c r="E583" s="139"/>
      <c r="F583" s="139"/>
      <c r="G583" s="140"/>
      <c r="H583" s="139"/>
      <c r="I583" s="139"/>
      <c r="J583" s="139"/>
      <c r="K583" s="143"/>
    </row>
    <row r="584" spans="1:19" ht="56.25">
      <c r="B584" s="194" t="s">
        <v>85</v>
      </c>
      <c r="C584" s="139"/>
      <c r="D584" s="140"/>
      <c r="E584" s="139">
        <v>16.5</v>
      </c>
      <c r="F584" s="139"/>
      <c r="G584" s="140"/>
      <c r="H584" s="139">
        <f>18.2847-2+0.3537</f>
        <v>16.638400000000001</v>
      </c>
      <c r="I584" s="141">
        <f t="shared" si="26"/>
        <v>0.13840000000000074</v>
      </c>
      <c r="J584" s="142">
        <f t="shared" si="27"/>
        <v>0.83181075103375768</v>
      </c>
      <c r="K584" s="175" t="s">
        <v>683</v>
      </c>
      <c r="L584" s="105">
        <f>+L585+L586+L587+L588+L589</f>
        <v>18284700</v>
      </c>
    </row>
    <row r="585" spans="1:19">
      <c r="B585" s="194"/>
      <c r="C585" s="139"/>
      <c r="D585" s="140"/>
      <c r="E585" s="139"/>
      <c r="F585" s="139"/>
      <c r="G585" s="140"/>
      <c r="H585" s="139"/>
      <c r="I585" s="141"/>
      <c r="J585" s="142"/>
      <c r="K585" s="143" t="s">
        <v>684</v>
      </c>
      <c r="L585" s="105">
        <v>107100</v>
      </c>
    </row>
    <row r="586" spans="1:19" ht="37.5">
      <c r="B586" s="194"/>
      <c r="C586" s="139"/>
      <c r="D586" s="140"/>
      <c r="E586" s="139"/>
      <c r="F586" s="139"/>
      <c r="G586" s="140"/>
      <c r="H586" s="139"/>
      <c r="I586" s="141"/>
      <c r="J586" s="142"/>
      <c r="K586" s="175" t="s">
        <v>702</v>
      </c>
      <c r="L586" s="105">
        <v>9287200</v>
      </c>
    </row>
    <row r="587" spans="1:19" s="105" customFormat="1" ht="37.5">
      <c r="A587" s="106"/>
      <c r="B587" s="194"/>
      <c r="C587" s="139"/>
      <c r="D587" s="140"/>
      <c r="E587" s="139"/>
      <c r="F587" s="139"/>
      <c r="G587" s="140"/>
      <c r="H587" s="139"/>
      <c r="I587" s="141"/>
      <c r="J587" s="142"/>
      <c r="K587" s="175" t="s">
        <v>726</v>
      </c>
      <c r="L587" s="105">
        <v>7590000</v>
      </c>
      <c r="N587" s="106"/>
      <c r="O587" s="106"/>
      <c r="P587" s="106"/>
      <c r="Q587" s="106"/>
      <c r="R587" s="106"/>
      <c r="S587" s="106"/>
    </row>
    <row r="588" spans="1:19" s="105" customFormat="1">
      <c r="A588" s="106"/>
      <c r="B588" s="194"/>
      <c r="C588" s="139"/>
      <c r="D588" s="140"/>
      <c r="E588" s="139"/>
      <c r="F588" s="139"/>
      <c r="G588" s="140"/>
      <c r="H588" s="139"/>
      <c r="I588" s="141"/>
      <c r="J588" s="142"/>
      <c r="K588" s="143" t="s">
        <v>720</v>
      </c>
      <c r="L588" s="105">
        <v>282000</v>
      </c>
      <c r="N588" s="106"/>
      <c r="O588" s="106"/>
      <c r="P588" s="106"/>
      <c r="Q588" s="106"/>
      <c r="R588" s="106"/>
      <c r="S588" s="106"/>
    </row>
    <row r="589" spans="1:19" s="105" customFormat="1" ht="37.5">
      <c r="A589" s="106"/>
      <c r="B589" s="194"/>
      <c r="C589" s="139"/>
      <c r="D589" s="140"/>
      <c r="E589" s="139"/>
      <c r="F589" s="139"/>
      <c r="G589" s="140"/>
      <c r="H589" s="139"/>
      <c r="I589" s="141"/>
      <c r="J589" s="142"/>
      <c r="K589" s="175" t="s">
        <v>727</v>
      </c>
      <c r="L589" s="105">
        <v>1018400</v>
      </c>
      <c r="N589" s="106"/>
      <c r="O589" s="106"/>
      <c r="P589" s="106"/>
      <c r="Q589" s="106"/>
      <c r="R589" s="106"/>
      <c r="S589" s="106"/>
    </row>
    <row r="590" spans="1:19" s="105" customFormat="1" ht="37.5">
      <c r="A590" s="106"/>
      <c r="B590" s="194" t="s">
        <v>98</v>
      </c>
      <c r="C590" s="139"/>
      <c r="D590" s="140"/>
      <c r="E590" s="139">
        <v>2.1852999999999998</v>
      </c>
      <c r="F590" s="139"/>
      <c r="G590" s="140"/>
      <c r="H590" s="139">
        <v>3.95</v>
      </c>
      <c r="I590" s="141">
        <f t="shared" si="26"/>
        <v>1.7647000000000004</v>
      </c>
      <c r="J590" s="142">
        <f t="shared" si="27"/>
        <v>44.675949367088613</v>
      </c>
      <c r="K590" s="175" t="s">
        <v>687</v>
      </c>
      <c r="L590" s="105">
        <f>+L591+L592</f>
        <v>3950000</v>
      </c>
      <c r="N590" s="106"/>
      <c r="O590" s="106"/>
      <c r="P590" s="106"/>
      <c r="Q590" s="106"/>
      <c r="R590" s="106"/>
      <c r="S590" s="106"/>
    </row>
    <row r="591" spans="1:19" s="105" customFormat="1">
      <c r="A591" s="106"/>
      <c r="B591" s="194"/>
      <c r="C591" s="139"/>
      <c r="D591" s="140"/>
      <c r="E591" s="139"/>
      <c r="F591" s="139"/>
      <c r="G591" s="140"/>
      <c r="H591" s="139"/>
      <c r="I591" s="141"/>
      <c r="J591" s="142"/>
      <c r="K591" s="143" t="s">
        <v>728</v>
      </c>
      <c r="L591" s="105">
        <v>3875000</v>
      </c>
      <c r="N591" s="106"/>
      <c r="O591" s="106"/>
      <c r="P591" s="106"/>
      <c r="Q591" s="106"/>
      <c r="R591" s="106"/>
      <c r="S591" s="106"/>
    </row>
    <row r="592" spans="1:19" s="105" customFormat="1">
      <c r="A592" s="106"/>
      <c r="B592" s="194"/>
      <c r="C592" s="139"/>
      <c r="D592" s="140"/>
      <c r="E592" s="139"/>
      <c r="F592" s="139"/>
      <c r="G592" s="140"/>
      <c r="H592" s="139"/>
      <c r="I592" s="141"/>
      <c r="J592" s="142"/>
      <c r="K592" s="143" t="s">
        <v>725</v>
      </c>
      <c r="L592" s="105">
        <v>75000</v>
      </c>
      <c r="N592" s="106"/>
      <c r="O592" s="106"/>
      <c r="P592" s="106"/>
      <c r="Q592" s="106"/>
      <c r="R592" s="106"/>
      <c r="S592" s="106"/>
    </row>
    <row r="593" spans="1:19" s="105" customFormat="1" ht="26.25" customHeight="1">
      <c r="A593" s="106"/>
      <c r="B593" s="194" t="s">
        <v>99</v>
      </c>
      <c r="C593" s="139"/>
      <c r="D593" s="140"/>
      <c r="E593" s="139">
        <v>2.258</v>
      </c>
      <c r="F593" s="139"/>
      <c r="G593" s="140"/>
      <c r="H593" s="139">
        <v>1.675</v>
      </c>
      <c r="I593" s="141">
        <f t="shared" si="26"/>
        <v>-0.58299999999999996</v>
      </c>
      <c r="J593" s="142">
        <f t="shared" si="27"/>
        <v>-34.805970149253731</v>
      </c>
      <c r="K593" s="175" t="s">
        <v>689</v>
      </c>
      <c r="L593" s="105">
        <f>+L594+L595</f>
        <v>1675000</v>
      </c>
      <c r="N593" s="106"/>
      <c r="O593" s="106"/>
      <c r="P593" s="106"/>
      <c r="Q593" s="106"/>
      <c r="R593" s="106"/>
      <c r="S593" s="106"/>
    </row>
    <row r="594" spans="1:19" s="105" customFormat="1" ht="26.25" customHeight="1">
      <c r="A594" s="106"/>
      <c r="B594" s="194"/>
      <c r="C594" s="139"/>
      <c r="D594" s="140"/>
      <c r="E594" s="139"/>
      <c r="F594" s="139"/>
      <c r="G594" s="140"/>
      <c r="H594" s="139"/>
      <c r="I594" s="141"/>
      <c r="J594" s="142"/>
      <c r="K594" s="143" t="s">
        <v>729</v>
      </c>
      <c r="L594" s="105">
        <v>1575000</v>
      </c>
      <c r="N594" s="106"/>
      <c r="O594" s="106"/>
      <c r="P594" s="106"/>
      <c r="Q594" s="106"/>
      <c r="R594" s="106"/>
      <c r="S594" s="106"/>
    </row>
    <row r="595" spans="1:19" s="105" customFormat="1" ht="26.25" customHeight="1">
      <c r="A595" s="106"/>
      <c r="B595" s="194"/>
      <c r="C595" s="139"/>
      <c r="D595" s="140"/>
      <c r="E595" s="139"/>
      <c r="F595" s="139"/>
      <c r="G595" s="140"/>
      <c r="H595" s="139"/>
      <c r="I595" s="141"/>
      <c r="J595" s="142"/>
      <c r="K595" s="143" t="s">
        <v>725</v>
      </c>
      <c r="L595" s="105">
        <v>100000</v>
      </c>
      <c r="N595" s="106"/>
      <c r="O595" s="106"/>
      <c r="P595" s="106"/>
      <c r="Q595" s="106"/>
      <c r="R595" s="106"/>
      <c r="S595" s="106"/>
    </row>
    <row r="596" spans="1:19" s="105" customFormat="1" ht="37.5">
      <c r="A596" s="106"/>
      <c r="B596" s="194" t="s">
        <v>100</v>
      </c>
      <c r="C596" s="139"/>
      <c r="D596" s="140"/>
      <c r="E596" s="139">
        <v>1.4550000000000001</v>
      </c>
      <c r="F596" s="139"/>
      <c r="G596" s="140"/>
      <c r="H596" s="139">
        <v>3.5750000000000002</v>
      </c>
      <c r="I596" s="141">
        <f t="shared" si="26"/>
        <v>2.12</v>
      </c>
      <c r="J596" s="142">
        <f t="shared" si="27"/>
        <v>59.3006993006993</v>
      </c>
      <c r="K596" s="175" t="s">
        <v>700</v>
      </c>
      <c r="L596" s="105">
        <f>+L597+L598+L599</f>
        <v>3575000</v>
      </c>
      <c r="N596" s="106"/>
      <c r="O596" s="106"/>
      <c r="P596" s="106"/>
      <c r="Q596" s="106"/>
      <c r="R596" s="106"/>
      <c r="S596" s="106"/>
    </row>
    <row r="597" spans="1:19" s="105" customFormat="1">
      <c r="A597" s="106"/>
      <c r="B597" s="194"/>
      <c r="C597" s="139"/>
      <c r="D597" s="140"/>
      <c r="E597" s="139"/>
      <c r="F597" s="139"/>
      <c r="G597" s="140"/>
      <c r="H597" s="139"/>
      <c r="I597" s="141"/>
      <c r="J597" s="142"/>
      <c r="K597" s="175" t="s">
        <v>701</v>
      </c>
      <c r="L597" s="105">
        <v>2125000</v>
      </c>
      <c r="N597" s="106"/>
      <c r="O597" s="106"/>
      <c r="P597" s="106"/>
      <c r="Q597" s="106"/>
      <c r="R597" s="106"/>
      <c r="S597" s="106"/>
    </row>
    <row r="598" spans="1:19" s="105" customFormat="1">
      <c r="A598" s="106"/>
      <c r="B598" s="194"/>
      <c r="C598" s="139"/>
      <c r="D598" s="140"/>
      <c r="E598" s="139"/>
      <c r="F598" s="139"/>
      <c r="G598" s="140"/>
      <c r="H598" s="139"/>
      <c r="I598" s="141"/>
      <c r="J598" s="142"/>
      <c r="K598" s="175" t="s">
        <v>690</v>
      </c>
      <c r="L598" s="105">
        <v>1300000</v>
      </c>
      <c r="N598" s="106"/>
      <c r="O598" s="106"/>
      <c r="P598" s="106"/>
      <c r="Q598" s="106"/>
      <c r="R598" s="106"/>
      <c r="S598" s="106"/>
    </row>
    <row r="599" spans="1:19" s="105" customFormat="1">
      <c r="A599" s="106"/>
      <c r="B599" s="194"/>
      <c r="C599" s="139"/>
      <c r="D599" s="140"/>
      <c r="E599" s="139"/>
      <c r="F599" s="139"/>
      <c r="G599" s="140"/>
      <c r="H599" s="139"/>
      <c r="I599" s="141"/>
      <c r="J599" s="142"/>
      <c r="K599" s="143" t="s">
        <v>725</v>
      </c>
      <c r="L599" s="105">
        <v>150000</v>
      </c>
      <c r="N599" s="106"/>
      <c r="O599" s="106"/>
      <c r="P599" s="106"/>
      <c r="Q599" s="106"/>
      <c r="R599" s="106"/>
      <c r="S599" s="106"/>
    </row>
    <row r="600" spans="1:19" s="105" customFormat="1" ht="56.25">
      <c r="A600" s="106"/>
      <c r="B600" s="194" t="s">
        <v>677</v>
      </c>
      <c r="C600" s="139"/>
      <c r="D600" s="140"/>
      <c r="E600" s="139">
        <v>7.3120000000000003</v>
      </c>
      <c r="F600" s="139"/>
      <c r="G600" s="140"/>
      <c r="H600" s="139">
        <v>2.2715000000000001</v>
      </c>
      <c r="I600" s="141">
        <f t="shared" si="26"/>
        <v>-5.0404999999999998</v>
      </c>
      <c r="J600" s="142">
        <f t="shared" si="27"/>
        <v>-221.90182698657273</v>
      </c>
      <c r="K600" s="175" t="s">
        <v>675</v>
      </c>
      <c r="N600" s="106"/>
      <c r="O600" s="106"/>
      <c r="P600" s="106"/>
      <c r="Q600" s="106"/>
      <c r="R600" s="106"/>
      <c r="S600" s="106"/>
    </row>
    <row r="601" spans="1:19" s="105" customFormat="1" ht="112.5">
      <c r="A601" s="106"/>
      <c r="B601" s="194"/>
      <c r="C601" s="139"/>
      <c r="D601" s="140"/>
      <c r="E601" s="139"/>
      <c r="F601" s="139"/>
      <c r="G601" s="140"/>
      <c r="H601" s="139"/>
      <c r="I601" s="141"/>
      <c r="J601" s="142"/>
      <c r="K601" s="175" t="s">
        <v>676</v>
      </c>
      <c r="N601" s="106"/>
      <c r="O601" s="106"/>
      <c r="P601" s="106"/>
      <c r="Q601" s="106"/>
      <c r="R601" s="106"/>
      <c r="S601" s="106"/>
    </row>
    <row r="602" spans="1:19" s="105" customFormat="1">
      <c r="A602" s="106"/>
      <c r="B602" s="194" t="s">
        <v>102</v>
      </c>
      <c r="C602" s="139"/>
      <c r="D602" s="140"/>
      <c r="E602" s="139">
        <v>18.761700000000001</v>
      </c>
      <c r="F602" s="139"/>
      <c r="G602" s="140"/>
      <c r="H602" s="139"/>
      <c r="I602" s="141">
        <f t="shared" si="26"/>
        <v>-18.761700000000001</v>
      </c>
      <c r="J602" s="142">
        <v>0</v>
      </c>
      <c r="K602" s="143" t="s">
        <v>691</v>
      </c>
      <c r="N602" s="106"/>
      <c r="O602" s="106"/>
      <c r="P602" s="106"/>
      <c r="Q602" s="106"/>
      <c r="R602" s="106"/>
      <c r="S602" s="106"/>
    </row>
    <row r="603" spans="1:19" s="105" customFormat="1" ht="37.5">
      <c r="A603" s="106"/>
      <c r="B603" s="194"/>
      <c r="C603" s="139"/>
      <c r="D603" s="140"/>
      <c r="E603" s="139"/>
      <c r="F603" s="139"/>
      <c r="G603" s="140"/>
      <c r="H603" s="139"/>
      <c r="I603" s="141"/>
      <c r="J603" s="142"/>
      <c r="K603" s="175" t="s">
        <v>692</v>
      </c>
      <c r="L603" s="105">
        <v>1044000</v>
      </c>
      <c r="N603" s="106"/>
      <c r="O603" s="106"/>
      <c r="P603" s="106"/>
      <c r="Q603" s="106"/>
      <c r="R603" s="106"/>
      <c r="S603" s="106"/>
    </row>
    <row r="604" spans="1:19" s="105" customFormat="1">
      <c r="A604" s="106"/>
      <c r="B604" s="194"/>
      <c r="C604" s="139"/>
      <c r="D604" s="140"/>
      <c r="E604" s="139"/>
      <c r="F604" s="139"/>
      <c r="G604" s="140"/>
      <c r="H604" s="139"/>
      <c r="I604" s="141"/>
      <c r="J604" s="142"/>
      <c r="K604" s="143"/>
      <c r="N604" s="106"/>
      <c r="O604" s="106"/>
      <c r="P604" s="106"/>
      <c r="Q604" s="106"/>
      <c r="R604" s="106"/>
      <c r="S604" s="106"/>
    </row>
    <row r="605" spans="1:19" s="105" customFormat="1">
      <c r="A605" s="106"/>
      <c r="B605" s="194"/>
      <c r="C605" s="139"/>
      <c r="D605" s="140"/>
      <c r="E605" s="139"/>
      <c r="F605" s="139"/>
      <c r="G605" s="140"/>
      <c r="H605" s="139"/>
      <c r="I605" s="141"/>
      <c r="J605" s="142"/>
      <c r="K605" s="143"/>
      <c r="N605" s="106"/>
      <c r="O605" s="106"/>
      <c r="P605" s="106"/>
      <c r="Q605" s="106"/>
      <c r="R605" s="106"/>
      <c r="S605" s="106"/>
    </row>
    <row r="606" spans="1:19" s="105" customFormat="1">
      <c r="A606" s="106"/>
      <c r="B606" s="194" t="s">
        <v>133</v>
      </c>
      <c r="C606" s="139"/>
      <c r="D606" s="140"/>
      <c r="E606" s="139">
        <v>2</v>
      </c>
      <c r="F606" s="139"/>
      <c r="G606" s="140"/>
      <c r="H606" s="139">
        <v>3.4487999999999999</v>
      </c>
      <c r="I606" s="141">
        <f t="shared" si="26"/>
        <v>1.4487999999999999</v>
      </c>
      <c r="J606" s="142">
        <f t="shared" si="27"/>
        <v>42.008814660171652</v>
      </c>
      <c r="K606" s="143" t="s">
        <v>697</v>
      </c>
      <c r="L606" s="105">
        <f>+L607+L608+L609</f>
        <v>3448800</v>
      </c>
      <c r="N606" s="106"/>
      <c r="O606" s="106"/>
      <c r="P606" s="106"/>
      <c r="Q606" s="106"/>
      <c r="R606" s="106"/>
      <c r="S606" s="106"/>
    </row>
    <row r="607" spans="1:19" s="105" customFormat="1">
      <c r="A607" s="106"/>
      <c r="B607" s="194"/>
      <c r="C607" s="139"/>
      <c r="D607" s="140"/>
      <c r="E607" s="139"/>
      <c r="F607" s="139"/>
      <c r="G607" s="140"/>
      <c r="H607" s="139"/>
      <c r="I607" s="141"/>
      <c r="J607" s="142"/>
      <c r="K607" s="143" t="s">
        <v>699</v>
      </c>
      <c r="L607" s="105">
        <v>2499600</v>
      </c>
      <c r="N607" s="106"/>
      <c r="O607" s="106"/>
      <c r="P607" s="106"/>
      <c r="Q607" s="106"/>
      <c r="R607" s="106"/>
      <c r="S607" s="106"/>
    </row>
    <row r="608" spans="1:19" s="105" customFormat="1">
      <c r="A608" s="106"/>
      <c r="B608" s="194"/>
      <c r="C608" s="139"/>
      <c r="D608" s="140"/>
      <c r="E608" s="139"/>
      <c r="F608" s="139"/>
      <c r="G608" s="140"/>
      <c r="H608" s="139"/>
      <c r="I608" s="141"/>
      <c r="J608" s="142"/>
      <c r="K608" s="143" t="s">
        <v>721</v>
      </c>
      <c r="L608" s="105">
        <v>750400</v>
      </c>
      <c r="N608" s="106"/>
      <c r="O608" s="106"/>
      <c r="P608" s="106"/>
      <c r="Q608" s="106"/>
      <c r="R608" s="106"/>
      <c r="S608" s="106"/>
    </row>
    <row r="609" spans="1:19" s="105" customFormat="1">
      <c r="A609" s="106"/>
      <c r="B609" s="194"/>
      <c r="C609" s="139"/>
      <c r="D609" s="140"/>
      <c r="E609" s="139"/>
      <c r="F609" s="139"/>
      <c r="G609" s="140"/>
      <c r="H609" s="139"/>
      <c r="I609" s="141"/>
      <c r="J609" s="142"/>
      <c r="K609" s="143" t="s">
        <v>730</v>
      </c>
      <c r="L609" s="105">
        <v>198800</v>
      </c>
      <c r="N609" s="106"/>
      <c r="O609" s="106"/>
      <c r="P609" s="106"/>
      <c r="Q609" s="106"/>
      <c r="R609" s="106"/>
      <c r="S609" s="106"/>
    </row>
    <row r="610" spans="1:19" s="105" customFormat="1" ht="37.5">
      <c r="A610" s="106"/>
      <c r="B610" s="194" t="s">
        <v>685</v>
      </c>
      <c r="C610" s="139"/>
      <c r="D610" s="140"/>
      <c r="E610" s="139"/>
      <c r="F610" s="139"/>
      <c r="G610" s="140"/>
      <c r="H610" s="139">
        <v>2.34</v>
      </c>
      <c r="I610" s="141">
        <f t="shared" si="26"/>
        <v>2.34</v>
      </c>
      <c r="J610" s="142">
        <f t="shared" si="27"/>
        <v>100</v>
      </c>
      <c r="K610" s="175" t="s">
        <v>686</v>
      </c>
      <c r="N610" s="106"/>
      <c r="O610" s="106"/>
      <c r="P610" s="106"/>
      <c r="Q610" s="106"/>
      <c r="R610" s="106"/>
      <c r="S610" s="106"/>
    </row>
    <row r="611" spans="1:19" s="105" customFormat="1">
      <c r="A611" s="106"/>
      <c r="B611" s="194"/>
      <c r="C611" s="139"/>
      <c r="D611" s="140"/>
      <c r="E611" s="139"/>
      <c r="F611" s="139"/>
      <c r="G611" s="140"/>
      <c r="H611" s="139"/>
      <c r="I611" s="141"/>
      <c r="J611" s="142"/>
      <c r="K611" s="175"/>
      <c r="N611" s="106"/>
      <c r="O611" s="106"/>
      <c r="P611" s="106"/>
      <c r="Q611" s="106"/>
      <c r="R611" s="106"/>
      <c r="S611" s="106"/>
    </row>
    <row r="612" spans="1:19" s="105" customFormat="1" ht="40.5">
      <c r="A612" s="106"/>
      <c r="B612" s="175" t="s">
        <v>69</v>
      </c>
      <c r="C612" s="139"/>
      <c r="D612" s="140"/>
      <c r="E612" s="139"/>
      <c r="F612" s="139"/>
      <c r="G612" s="140"/>
      <c r="H612" s="139">
        <v>7.8319999999999999</v>
      </c>
      <c r="I612" s="141">
        <f t="shared" si="26"/>
        <v>7.8319999999999999</v>
      </c>
      <c r="J612" s="142">
        <f t="shared" si="27"/>
        <v>100</v>
      </c>
      <c r="K612" s="237" t="s">
        <v>693</v>
      </c>
      <c r="L612" s="105">
        <f>+L615+L616+L617</f>
        <v>7832000</v>
      </c>
      <c r="N612" s="106"/>
      <c r="O612" s="106"/>
      <c r="P612" s="106"/>
      <c r="Q612" s="106"/>
      <c r="R612" s="106"/>
      <c r="S612" s="106"/>
    </row>
    <row r="613" spans="1:19" s="105" customFormat="1" ht="21">
      <c r="A613" s="106"/>
      <c r="B613" s="194" t="s">
        <v>2</v>
      </c>
      <c r="C613" s="139"/>
      <c r="D613" s="140"/>
      <c r="E613" s="139"/>
      <c r="F613" s="139"/>
      <c r="G613" s="140"/>
      <c r="H613" s="139"/>
      <c r="I613" s="141"/>
      <c r="J613" s="142"/>
      <c r="K613" s="238"/>
      <c r="N613" s="106"/>
      <c r="O613" s="106"/>
      <c r="P613" s="106"/>
      <c r="Q613" s="106"/>
      <c r="R613" s="106"/>
      <c r="S613" s="106"/>
    </row>
    <row r="614" spans="1:19" s="105" customFormat="1" ht="21">
      <c r="A614" s="106"/>
      <c r="B614" s="194" t="s">
        <v>3</v>
      </c>
      <c r="C614" s="139"/>
      <c r="D614" s="140"/>
      <c r="E614" s="139"/>
      <c r="F614" s="139"/>
      <c r="G614" s="140"/>
      <c r="H614" s="139"/>
      <c r="I614" s="141"/>
      <c r="J614" s="142"/>
      <c r="K614" s="238"/>
      <c r="N614" s="106"/>
      <c r="O614" s="106"/>
      <c r="P614" s="106"/>
      <c r="Q614" s="106"/>
      <c r="R614" s="106"/>
      <c r="S614" s="106"/>
    </row>
    <row r="615" spans="1:19" s="105" customFormat="1" ht="37.5">
      <c r="A615" s="106"/>
      <c r="B615" s="194" t="s">
        <v>696</v>
      </c>
      <c r="C615" s="139"/>
      <c r="D615" s="140"/>
      <c r="E615" s="139"/>
      <c r="F615" s="139"/>
      <c r="G615" s="140"/>
      <c r="H615" s="139"/>
      <c r="I615" s="141"/>
      <c r="J615" s="142"/>
      <c r="K615" s="239" t="s">
        <v>694</v>
      </c>
      <c r="L615" s="105">
        <v>2700000</v>
      </c>
      <c r="N615" s="106"/>
      <c r="O615" s="106"/>
      <c r="P615" s="106"/>
      <c r="Q615" s="106"/>
      <c r="R615" s="106"/>
      <c r="S615" s="106"/>
    </row>
    <row r="616" spans="1:19" s="105" customFormat="1">
      <c r="A616" s="106"/>
      <c r="B616" s="194"/>
      <c r="C616" s="139"/>
      <c r="D616" s="140"/>
      <c r="E616" s="139"/>
      <c r="F616" s="139"/>
      <c r="G616" s="140"/>
      <c r="H616" s="139"/>
      <c r="I616" s="141"/>
      <c r="J616" s="142"/>
      <c r="K616" s="240" t="s">
        <v>695</v>
      </c>
      <c r="L616" s="105">
        <v>3132000</v>
      </c>
      <c r="N616" s="106"/>
      <c r="O616" s="106"/>
      <c r="P616" s="106"/>
      <c r="Q616" s="106"/>
      <c r="R616" s="106"/>
      <c r="S616" s="106"/>
    </row>
    <row r="617" spans="1:19" s="105" customFormat="1" ht="37.5">
      <c r="A617" s="106"/>
      <c r="B617" s="194" t="s">
        <v>1029</v>
      </c>
      <c r="C617" s="139"/>
      <c r="D617" s="140"/>
      <c r="E617" s="139"/>
      <c r="F617" s="139"/>
      <c r="G617" s="140"/>
      <c r="H617" s="139"/>
      <c r="I617" s="141"/>
      <c r="J617" s="142"/>
      <c r="K617" s="237" t="s">
        <v>722</v>
      </c>
      <c r="L617" s="105">
        <v>2000000</v>
      </c>
      <c r="N617" s="106"/>
      <c r="O617" s="106"/>
      <c r="P617" s="106"/>
      <c r="Q617" s="106"/>
      <c r="R617" s="106"/>
      <c r="S617" s="106"/>
    </row>
    <row r="618" spans="1:19" s="105" customFormat="1" ht="21">
      <c r="A618" s="106"/>
      <c r="B618" s="194"/>
      <c r="C618" s="139"/>
      <c r="D618" s="140"/>
      <c r="E618" s="139"/>
      <c r="F618" s="139"/>
      <c r="G618" s="140"/>
      <c r="H618" s="139"/>
      <c r="I618" s="141"/>
      <c r="J618" s="142"/>
      <c r="K618" s="238"/>
      <c r="N618" s="106"/>
      <c r="O618" s="106"/>
      <c r="P618" s="106"/>
      <c r="Q618" s="106"/>
      <c r="R618" s="106"/>
      <c r="S618" s="106"/>
    </row>
    <row r="619" spans="1:19" s="105" customFormat="1" ht="21">
      <c r="A619" s="106"/>
      <c r="B619" s="175" t="s">
        <v>22</v>
      </c>
      <c r="C619" s="139"/>
      <c r="D619" s="140"/>
      <c r="E619" s="139"/>
      <c r="F619" s="139"/>
      <c r="G619" s="140"/>
      <c r="H619" s="139"/>
      <c r="I619" s="141"/>
      <c r="J619" s="142"/>
      <c r="K619" s="238"/>
      <c r="N619" s="106"/>
      <c r="O619" s="106"/>
      <c r="P619" s="106"/>
      <c r="Q619" s="106"/>
      <c r="R619" s="106"/>
      <c r="S619" s="106"/>
    </row>
    <row r="620" spans="1:19" s="105" customFormat="1" ht="21">
      <c r="A620" s="106"/>
      <c r="B620" s="194" t="s">
        <v>21</v>
      </c>
      <c r="C620" s="139"/>
      <c r="D620" s="140"/>
      <c r="E620" s="139"/>
      <c r="F620" s="139"/>
      <c r="G620" s="140"/>
      <c r="H620" s="139"/>
      <c r="I620" s="141"/>
      <c r="J620" s="142"/>
      <c r="K620" s="238"/>
      <c r="N620" s="106"/>
      <c r="O620" s="106"/>
      <c r="P620" s="106"/>
      <c r="Q620" s="106"/>
      <c r="R620" s="106"/>
      <c r="S620" s="106"/>
    </row>
    <row r="621" spans="1:19" s="105" customFormat="1">
      <c r="A621" s="106"/>
      <c r="B621" s="175" t="s">
        <v>20</v>
      </c>
      <c r="C621" s="139"/>
      <c r="D621" s="140"/>
      <c r="E621" s="139"/>
      <c r="F621" s="139"/>
      <c r="G621" s="140"/>
      <c r="H621" s="139"/>
      <c r="I621" s="141"/>
      <c r="J621" s="142"/>
      <c r="K621" s="143"/>
      <c r="N621" s="106"/>
      <c r="O621" s="106"/>
      <c r="P621" s="106"/>
      <c r="Q621" s="106"/>
      <c r="R621" s="106"/>
      <c r="S621" s="106"/>
    </row>
    <row r="622" spans="1:19" s="105" customFormat="1">
      <c r="A622" s="106"/>
      <c r="B622" s="194" t="s">
        <v>17</v>
      </c>
      <c r="C622" s="139"/>
      <c r="D622" s="140"/>
      <c r="E622" s="139"/>
      <c r="F622" s="139"/>
      <c r="G622" s="140"/>
      <c r="H622" s="139"/>
      <c r="I622" s="141"/>
      <c r="J622" s="142"/>
      <c r="K622" s="143"/>
      <c r="N622" s="106"/>
      <c r="O622" s="106"/>
      <c r="P622" s="106"/>
      <c r="Q622" s="106"/>
      <c r="R622" s="106"/>
      <c r="S622" s="106"/>
    </row>
    <row r="623" spans="1:19" s="105" customFormat="1">
      <c r="A623" s="106"/>
      <c r="B623" s="175" t="s">
        <v>44</v>
      </c>
      <c r="C623" s="139"/>
      <c r="D623" s="140"/>
      <c r="E623" s="139">
        <f>SUM(E624:E666)</f>
        <v>289.46479999999997</v>
      </c>
      <c r="F623" s="139"/>
      <c r="G623" s="140"/>
      <c r="H623" s="139">
        <f>SUM(H624:H666)</f>
        <v>321.96390000000002</v>
      </c>
      <c r="I623" s="141">
        <f t="shared" si="26"/>
        <v>32.499100000000055</v>
      </c>
      <c r="J623" s="142">
        <f t="shared" si="27"/>
        <v>10.09401985750578</v>
      </c>
      <c r="K623" s="143"/>
      <c r="N623" s="106"/>
      <c r="O623" s="106"/>
      <c r="P623" s="106"/>
      <c r="Q623" s="106"/>
      <c r="R623" s="106"/>
      <c r="S623" s="106"/>
    </row>
    <row r="624" spans="1:19" s="105" customFormat="1" ht="37.5">
      <c r="A624" s="106"/>
      <c r="B624" s="194" t="s">
        <v>90</v>
      </c>
      <c r="C624" s="139"/>
      <c r="D624" s="140"/>
      <c r="E624" s="139">
        <v>3</v>
      </c>
      <c r="F624" s="139"/>
      <c r="G624" s="140"/>
      <c r="H624" s="139">
        <f>3.78-0.168</f>
        <v>3.6119999999999997</v>
      </c>
      <c r="I624" s="141">
        <f t="shared" si="26"/>
        <v>0.61199999999999966</v>
      </c>
      <c r="J624" s="142">
        <f t="shared" si="27"/>
        <v>16.943521594684377</v>
      </c>
      <c r="K624" s="175" t="s">
        <v>703</v>
      </c>
      <c r="L624" s="105">
        <f>SUM(L625:L629)</f>
        <v>3780000</v>
      </c>
      <c r="N624" s="106"/>
      <c r="O624" s="106"/>
      <c r="P624" s="106"/>
      <c r="Q624" s="106"/>
      <c r="R624" s="106"/>
      <c r="S624" s="106"/>
    </row>
    <row r="625" spans="1:19" s="105" customFormat="1">
      <c r="A625" s="106"/>
      <c r="B625" s="194"/>
      <c r="C625" s="139"/>
      <c r="D625" s="140"/>
      <c r="E625" s="139"/>
      <c r="F625" s="139"/>
      <c r="G625" s="140"/>
      <c r="H625" s="139"/>
      <c r="I625" s="141"/>
      <c r="J625" s="142"/>
      <c r="K625" s="175" t="s">
        <v>704</v>
      </c>
      <c r="L625" s="105">
        <v>2250000</v>
      </c>
      <c r="N625" s="106"/>
      <c r="O625" s="106"/>
      <c r="P625" s="106"/>
      <c r="Q625" s="106"/>
      <c r="R625" s="106"/>
      <c r="S625" s="106"/>
    </row>
    <row r="626" spans="1:19" s="105" customFormat="1">
      <c r="A626" s="106"/>
      <c r="B626" s="194"/>
      <c r="C626" s="139"/>
      <c r="D626" s="140"/>
      <c r="E626" s="139"/>
      <c r="F626" s="139"/>
      <c r="G626" s="140"/>
      <c r="H626" s="139"/>
      <c r="I626" s="141"/>
      <c r="J626" s="142"/>
      <c r="K626" s="175" t="s">
        <v>705</v>
      </c>
      <c r="L626" s="105">
        <v>750000</v>
      </c>
      <c r="N626" s="106"/>
      <c r="O626" s="106"/>
      <c r="P626" s="106"/>
      <c r="Q626" s="106"/>
      <c r="R626" s="106"/>
      <c r="S626" s="106"/>
    </row>
    <row r="627" spans="1:19" s="105" customFormat="1">
      <c r="A627" s="106"/>
      <c r="B627" s="194"/>
      <c r="C627" s="139"/>
      <c r="D627" s="140"/>
      <c r="E627" s="139"/>
      <c r="F627" s="139"/>
      <c r="G627" s="140"/>
      <c r="H627" s="139"/>
      <c r="I627" s="141"/>
      <c r="J627" s="142"/>
      <c r="K627" s="143" t="s">
        <v>684</v>
      </c>
      <c r="L627" s="105">
        <v>340000</v>
      </c>
      <c r="N627" s="106"/>
      <c r="O627" s="106"/>
      <c r="P627" s="106"/>
      <c r="Q627" s="106"/>
      <c r="R627" s="106"/>
      <c r="S627" s="106"/>
    </row>
    <row r="628" spans="1:19" s="105" customFormat="1">
      <c r="A628" s="106"/>
      <c r="B628" s="194"/>
      <c r="C628" s="139"/>
      <c r="D628" s="140"/>
      <c r="E628" s="139"/>
      <c r="F628" s="139"/>
      <c r="G628" s="140"/>
      <c r="H628" s="139"/>
      <c r="I628" s="141"/>
      <c r="J628" s="142"/>
      <c r="K628" s="143" t="s">
        <v>723</v>
      </c>
      <c r="L628" s="105">
        <v>340000</v>
      </c>
      <c r="N628" s="106"/>
      <c r="O628" s="106"/>
      <c r="P628" s="106"/>
      <c r="Q628" s="106"/>
      <c r="R628" s="106"/>
      <c r="S628" s="106"/>
    </row>
    <row r="629" spans="1:19" s="105" customFormat="1">
      <c r="A629" s="106"/>
      <c r="B629" s="194"/>
      <c r="C629" s="139"/>
      <c r="D629" s="140"/>
      <c r="E629" s="139"/>
      <c r="F629" s="139"/>
      <c r="G629" s="140"/>
      <c r="H629" s="139"/>
      <c r="I629" s="141"/>
      <c r="J629" s="142"/>
      <c r="K629" s="143" t="s">
        <v>730</v>
      </c>
      <c r="L629" s="105">
        <v>100000</v>
      </c>
      <c r="N629" s="106"/>
      <c r="O629" s="106"/>
      <c r="P629" s="106"/>
      <c r="Q629" s="106"/>
      <c r="R629" s="106"/>
      <c r="S629" s="106"/>
    </row>
    <row r="630" spans="1:19" s="105" customFormat="1" ht="37.5">
      <c r="A630" s="106"/>
      <c r="B630" s="194" t="s">
        <v>91</v>
      </c>
      <c r="C630" s="139"/>
      <c r="D630" s="140"/>
      <c r="E630" s="139">
        <v>4</v>
      </c>
      <c r="F630" s="139"/>
      <c r="G630" s="140"/>
      <c r="H630" s="139">
        <v>6.867</v>
      </c>
      <c r="I630" s="141">
        <f t="shared" si="26"/>
        <v>2.867</v>
      </c>
      <c r="J630" s="142">
        <f t="shared" si="27"/>
        <v>41.750400465996798</v>
      </c>
      <c r="K630" s="175" t="s">
        <v>706</v>
      </c>
      <c r="L630" s="105">
        <f>SUM(L631:L633)</f>
        <v>6867000</v>
      </c>
      <c r="N630" s="106"/>
      <c r="O630" s="106"/>
      <c r="P630" s="106"/>
      <c r="Q630" s="106"/>
      <c r="R630" s="106"/>
      <c r="S630" s="106"/>
    </row>
    <row r="631" spans="1:19" s="105" customFormat="1">
      <c r="A631" s="106"/>
      <c r="B631" s="194"/>
      <c r="C631" s="139"/>
      <c r="D631" s="140"/>
      <c r="E631" s="139"/>
      <c r="F631" s="139"/>
      <c r="G631" s="140"/>
      <c r="H631" s="139"/>
      <c r="I631" s="141"/>
      <c r="J631" s="142"/>
      <c r="K631" s="143" t="s">
        <v>714</v>
      </c>
      <c r="L631" s="105">
        <v>3192000</v>
      </c>
      <c r="N631" s="106"/>
      <c r="O631" s="106"/>
      <c r="P631" s="106"/>
      <c r="Q631" s="106"/>
      <c r="R631" s="106"/>
      <c r="S631" s="106"/>
    </row>
    <row r="632" spans="1:19" s="105" customFormat="1">
      <c r="A632" s="106"/>
      <c r="B632" s="194"/>
      <c r="C632" s="139"/>
      <c r="D632" s="140"/>
      <c r="E632" s="139"/>
      <c r="F632" s="139"/>
      <c r="G632" s="140"/>
      <c r="H632" s="139"/>
      <c r="I632" s="141"/>
      <c r="J632" s="142"/>
      <c r="K632" s="143" t="s">
        <v>723</v>
      </c>
      <c r="L632" s="105">
        <v>1000000</v>
      </c>
      <c r="N632" s="106"/>
      <c r="O632" s="106"/>
      <c r="P632" s="106"/>
      <c r="Q632" s="106"/>
      <c r="R632" s="106"/>
      <c r="S632" s="106"/>
    </row>
    <row r="633" spans="1:19" s="105" customFormat="1">
      <c r="A633" s="106"/>
      <c r="B633" s="194"/>
      <c r="C633" s="139"/>
      <c r="D633" s="140"/>
      <c r="E633" s="139"/>
      <c r="F633" s="139"/>
      <c r="G633" s="140"/>
      <c r="H633" s="139"/>
      <c r="I633" s="141"/>
      <c r="J633" s="142"/>
      <c r="K633" s="143" t="s">
        <v>730</v>
      </c>
      <c r="L633" s="105">
        <v>2675000</v>
      </c>
      <c r="N633" s="106"/>
      <c r="O633" s="106"/>
      <c r="P633" s="106"/>
      <c r="Q633" s="106"/>
      <c r="R633" s="106"/>
      <c r="S633" s="106"/>
    </row>
    <row r="634" spans="1:19" s="105" customFormat="1" ht="37.5">
      <c r="A634" s="106"/>
      <c r="B634" s="194" t="s">
        <v>134</v>
      </c>
      <c r="C634" s="139"/>
      <c r="D634" s="140"/>
      <c r="E634" s="139">
        <v>2.9</v>
      </c>
      <c r="F634" s="139"/>
      <c r="G634" s="140"/>
      <c r="H634" s="139">
        <v>2.9</v>
      </c>
      <c r="I634" s="141">
        <f t="shared" si="26"/>
        <v>0</v>
      </c>
      <c r="J634" s="142">
        <f t="shared" si="27"/>
        <v>0</v>
      </c>
      <c r="K634" s="175" t="s">
        <v>731</v>
      </c>
      <c r="N634" s="106"/>
      <c r="O634" s="106"/>
      <c r="P634" s="106"/>
      <c r="Q634" s="106"/>
      <c r="R634" s="106"/>
      <c r="S634" s="106"/>
    </row>
    <row r="635" spans="1:19" s="105" customFormat="1">
      <c r="A635" s="106"/>
      <c r="B635" s="194"/>
      <c r="C635" s="139"/>
      <c r="D635" s="140"/>
      <c r="E635" s="139"/>
      <c r="F635" s="139"/>
      <c r="G635" s="140"/>
      <c r="H635" s="139"/>
      <c r="I635" s="141"/>
      <c r="J635" s="142"/>
      <c r="K635" s="143"/>
      <c r="N635" s="106"/>
      <c r="O635" s="106"/>
      <c r="P635" s="106"/>
      <c r="Q635" s="106"/>
      <c r="R635" s="106"/>
      <c r="S635" s="106"/>
    </row>
    <row r="636" spans="1:19" s="105" customFormat="1" ht="37.5">
      <c r="A636" s="106"/>
      <c r="B636" s="194" t="s">
        <v>135</v>
      </c>
      <c r="C636" s="139"/>
      <c r="D636" s="140"/>
      <c r="E636" s="139">
        <v>1.9</v>
      </c>
      <c r="F636" s="139"/>
      <c r="G636" s="140"/>
      <c r="H636" s="139">
        <v>2.63</v>
      </c>
      <c r="I636" s="141">
        <f t="shared" si="26"/>
        <v>0.73</v>
      </c>
      <c r="J636" s="142">
        <f t="shared" si="27"/>
        <v>27.756653992395439</v>
      </c>
      <c r="K636" s="323" t="s">
        <v>707</v>
      </c>
      <c r="L636" s="105">
        <f>SUM(L637:L640)</f>
        <v>2630000</v>
      </c>
      <c r="N636" s="106"/>
      <c r="O636" s="106"/>
      <c r="P636" s="106"/>
      <c r="Q636" s="106"/>
      <c r="R636" s="106"/>
      <c r="S636" s="106"/>
    </row>
    <row r="637" spans="1:19" s="105" customFormat="1">
      <c r="A637" s="106"/>
      <c r="B637" s="194"/>
      <c r="C637" s="139"/>
      <c r="D637" s="140"/>
      <c r="E637" s="139"/>
      <c r="F637" s="139"/>
      <c r="G637" s="140"/>
      <c r="H637" s="139"/>
      <c r="I637" s="141"/>
      <c r="J637" s="142"/>
      <c r="K637" s="143" t="s">
        <v>688</v>
      </c>
      <c r="L637" s="105">
        <v>1250000</v>
      </c>
      <c r="N637" s="106"/>
      <c r="O637" s="106"/>
      <c r="P637" s="106"/>
      <c r="Q637" s="106"/>
      <c r="R637" s="106"/>
      <c r="S637" s="106"/>
    </row>
    <row r="638" spans="1:19" s="105" customFormat="1">
      <c r="A638" s="106"/>
      <c r="B638" s="194"/>
      <c r="C638" s="139"/>
      <c r="D638" s="140"/>
      <c r="E638" s="139"/>
      <c r="F638" s="139"/>
      <c r="G638" s="140"/>
      <c r="H638" s="139"/>
      <c r="I638" s="141"/>
      <c r="J638" s="142"/>
      <c r="K638" s="143" t="s">
        <v>708</v>
      </c>
      <c r="L638" s="105">
        <v>200000</v>
      </c>
      <c r="N638" s="106"/>
      <c r="O638" s="106"/>
      <c r="P638" s="106"/>
      <c r="Q638" s="106"/>
      <c r="R638" s="106"/>
      <c r="S638" s="106"/>
    </row>
    <row r="639" spans="1:19" s="105" customFormat="1" ht="37.5">
      <c r="A639" s="106"/>
      <c r="B639" s="194"/>
      <c r="C639" s="139"/>
      <c r="D639" s="140"/>
      <c r="E639" s="139"/>
      <c r="F639" s="139"/>
      <c r="G639" s="140"/>
      <c r="H639" s="139"/>
      <c r="I639" s="141"/>
      <c r="J639" s="142"/>
      <c r="K639" s="175" t="s">
        <v>709</v>
      </c>
      <c r="L639" s="105">
        <v>180000</v>
      </c>
      <c r="N639" s="106"/>
      <c r="O639" s="106"/>
      <c r="P639" s="106"/>
      <c r="Q639" s="106"/>
      <c r="R639" s="106"/>
      <c r="S639" s="106"/>
    </row>
    <row r="640" spans="1:19" s="105" customFormat="1">
      <c r="A640" s="106"/>
      <c r="B640" s="194"/>
      <c r="C640" s="139"/>
      <c r="D640" s="140"/>
      <c r="E640" s="139"/>
      <c r="F640" s="139"/>
      <c r="G640" s="140"/>
      <c r="H640" s="139"/>
      <c r="I640" s="141"/>
      <c r="J640" s="142"/>
      <c r="K640" s="143" t="s">
        <v>723</v>
      </c>
      <c r="L640" s="105">
        <v>1000000</v>
      </c>
      <c r="N640" s="106"/>
      <c r="O640" s="106"/>
      <c r="P640" s="106"/>
      <c r="Q640" s="106"/>
      <c r="R640" s="106"/>
      <c r="S640" s="106"/>
    </row>
    <row r="641" spans="1:19" s="105" customFormat="1">
      <c r="A641" s="106"/>
      <c r="B641" s="194"/>
      <c r="C641" s="139"/>
      <c r="D641" s="140"/>
      <c r="E641" s="139"/>
      <c r="F641" s="139"/>
      <c r="G641" s="140"/>
      <c r="H641" s="139"/>
      <c r="I641" s="141"/>
      <c r="J641" s="142"/>
      <c r="K641" s="143"/>
      <c r="N641" s="106"/>
      <c r="O641" s="106"/>
      <c r="P641" s="106"/>
      <c r="Q641" s="106"/>
      <c r="R641" s="106"/>
      <c r="S641" s="106"/>
    </row>
    <row r="642" spans="1:19" s="105" customFormat="1">
      <c r="A642" s="106"/>
      <c r="B642" s="194" t="s">
        <v>136</v>
      </c>
      <c r="C642" s="139"/>
      <c r="D642" s="140"/>
      <c r="E642" s="139">
        <v>2.1579999999999999</v>
      </c>
      <c r="F642" s="139"/>
      <c r="G642" s="140"/>
      <c r="H642" s="139">
        <v>2.0049999999999999</v>
      </c>
      <c r="I642" s="141">
        <f t="shared" ref="I642:J701" si="28">+H642-E642</f>
        <v>-0.15300000000000002</v>
      </c>
      <c r="J642" s="142">
        <f t="shared" ref="J642:J704" si="29">+I642*100/H642</f>
        <v>-7.6309226932668341</v>
      </c>
      <c r="K642" s="143" t="s">
        <v>716</v>
      </c>
      <c r="L642" s="105">
        <f>+L643+L644</f>
        <v>2005000</v>
      </c>
      <c r="N642" s="106"/>
      <c r="O642" s="106"/>
      <c r="P642" s="106"/>
      <c r="Q642" s="106"/>
      <c r="R642" s="106"/>
      <c r="S642" s="106"/>
    </row>
    <row r="643" spans="1:19" s="105" customFormat="1">
      <c r="A643" s="106"/>
      <c r="B643" s="194"/>
      <c r="C643" s="139"/>
      <c r="D643" s="140"/>
      <c r="E643" s="139"/>
      <c r="F643" s="139"/>
      <c r="G643" s="140"/>
      <c r="H643" s="139"/>
      <c r="I643" s="141"/>
      <c r="J643" s="142"/>
      <c r="K643" s="143" t="s">
        <v>698</v>
      </c>
      <c r="L643" s="105">
        <v>1980000</v>
      </c>
      <c r="N643" s="106"/>
      <c r="O643" s="106"/>
      <c r="P643" s="106"/>
      <c r="Q643" s="106"/>
      <c r="R643" s="106"/>
      <c r="S643" s="106"/>
    </row>
    <row r="644" spans="1:19" s="105" customFormat="1">
      <c r="A644" s="106"/>
      <c r="B644" s="194"/>
      <c r="C644" s="139"/>
      <c r="D644" s="140"/>
      <c r="E644" s="139"/>
      <c r="F644" s="139"/>
      <c r="G644" s="140"/>
      <c r="H644" s="139"/>
      <c r="I644" s="141"/>
      <c r="J644" s="142"/>
      <c r="K644" s="143" t="s">
        <v>730</v>
      </c>
      <c r="L644" s="105">
        <v>25000</v>
      </c>
      <c r="N644" s="106"/>
      <c r="O644" s="106"/>
      <c r="P644" s="106"/>
      <c r="Q644" s="106"/>
      <c r="R644" s="106"/>
      <c r="S644" s="106"/>
    </row>
    <row r="645" spans="1:19" s="105" customFormat="1">
      <c r="A645" s="106"/>
      <c r="B645" s="194" t="s">
        <v>137</v>
      </c>
      <c r="C645" s="139"/>
      <c r="D645" s="140"/>
      <c r="E645" s="139">
        <v>20</v>
      </c>
      <c r="F645" s="139"/>
      <c r="G645" s="140"/>
      <c r="H645" s="139">
        <v>19.281500000000001</v>
      </c>
      <c r="I645" s="141">
        <f t="shared" si="28"/>
        <v>-0.71849999999999881</v>
      </c>
      <c r="J645" s="142">
        <f t="shared" si="29"/>
        <v>-3.7263698363716453</v>
      </c>
      <c r="K645" s="143" t="s">
        <v>712</v>
      </c>
      <c r="L645" s="105">
        <f>+L646+L647</f>
        <v>19281800</v>
      </c>
      <c r="N645" s="106"/>
      <c r="O645" s="106"/>
      <c r="P645" s="106"/>
      <c r="Q645" s="106"/>
      <c r="R645" s="106"/>
      <c r="S645" s="106"/>
    </row>
    <row r="646" spans="1:19" s="105" customFormat="1">
      <c r="A646" s="106"/>
      <c r="B646" s="194"/>
      <c r="C646" s="139"/>
      <c r="D646" s="140"/>
      <c r="E646" s="139"/>
      <c r="F646" s="139"/>
      <c r="G646" s="140"/>
      <c r="H646" s="139"/>
      <c r="I646" s="141"/>
      <c r="J646" s="142"/>
      <c r="K646" s="143" t="s">
        <v>698</v>
      </c>
      <c r="L646" s="105">
        <v>17850000</v>
      </c>
      <c r="N646" s="106"/>
      <c r="O646" s="106"/>
      <c r="P646" s="106"/>
      <c r="Q646" s="106"/>
      <c r="R646" s="106"/>
      <c r="S646" s="106"/>
    </row>
    <row r="647" spans="1:19" s="105" customFormat="1">
      <c r="A647" s="106"/>
      <c r="B647" s="194"/>
      <c r="C647" s="139"/>
      <c r="D647" s="140"/>
      <c r="E647" s="139"/>
      <c r="F647" s="139"/>
      <c r="G647" s="140"/>
      <c r="H647" s="139"/>
      <c r="I647" s="141"/>
      <c r="J647" s="142"/>
      <c r="K647" s="143" t="s">
        <v>730</v>
      </c>
      <c r="L647" s="105">
        <v>1431800</v>
      </c>
      <c r="N647" s="106"/>
      <c r="O647" s="106"/>
      <c r="P647" s="106"/>
      <c r="Q647" s="106"/>
      <c r="R647" s="106"/>
      <c r="S647" s="106"/>
    </row>
    <row r="648" spans="1:19" s="105" customFormat="1">
      <c r="A648" s="106"/>
      <c r="B648" s="194"/>
      <c r="C648" s="139"/>
      <c r="D648" s="140"/>
      <c r="E648" s="139"/>
      <c r="F648" s="139"/>
      <c r="G648" s="140"/>
      <c r="H648" s="139"/>
      <c r="I648" s="141"/>
      <c r="J648" s="142"/>
      <c r="K648" s="143"/>
      <c r="N648" s="106"/>
      <c r="O648" s="106"/>
      <c r="P648" s="106"/>
      <c r="Q648" s="106"/>
      <c r="R648" s="106"/>
      <c r="S648" s="106"/>
    </row>
    <row r="649" spans="1:19" s="105" customFormat="1">
      <c r="A649" s="106"/>
      <c r="B649" s="194" t="s">
        <v>139</v>
      </c>
      <c r="C649" s="139"/>
      <c r="D649" s="140"/>
      <c r="E649" s="139">
        <v>166.0068</v>
      </c>
      <c r="F649" s="139"/>
      <c r="G649" s="140"/>
      <c r="H649" s="139">
        <v>203.61099999999999</v>
      </c>
      <c r="I649" s="141">
        <f t="shared" si="28"/>
        <v>37.604199999999992</v>
      </c>
      <c r="J649" s="142">
        <f t="shared" si="29"/>
        <v>18.468648550422124</v>
      </c>
      <c r="K649" s="143" t="s">
        <v>713</v>
      </c>
      <c r="L649" s="105">
        <f>SUM(L650:L652)</f>
        <v>203611000</v>
      </c>
      <c r="N649" s="106"/>
      <c r="O649" s="106"/>
      <c r="P649" s="106"/>
      <c r="Q649" s="106"/>
      <c r="R649" s="106"/>
      <c r="S649" s="106"/>
    </row>
    <row r="650" spans="1:19" s="105" customFormat="1">
      <c r="A650" s="106"/>
      <c r="B650" s="194"/>
      <c r="C650" s="139"/>
      <c r="D650" s="140"/>
      <c r="E650" s="139"/>
      <c r="F650" s="139"/>
      <c r="G650" s="140"/>
      <c r="H650" s="139"/>
      <c r="I650" s="141"/>
      <c r="J650" s="142"/>
      <c r="K650" s="143" t="s">
        <v>714</v>
      </c>
      <c r="L650" s="105">
        <v>193161000</v>
      </c>
      <c r="N650" s="106"/>
      <c r="O650" s="106"/>
      <c r="P650" s="106"/>
      <c r="Q650" s="106"/>
      <c r="R650" s="106"/>
      <c r="S650" s="106"/>
    </row>
    <row r="651" spans="1:19" s="105" customFormat="1">
      <c r="A651" s="106"/>
      <c r="B651" s="194"/>
      <c r="C651" s="139"/>
      <c r="D651" s="140"/>
      <c r="E651" s="139"/>
      <c r="F651" s="139"/>
      <c r="G651" s="140"/>
      <c r="H651" s="139"/>
      <c r="I651" s="141"/>
      <c r="J651" s="142"/>
      <c r="K651" s="143" t="s">
        <v>723</v>
      </c>
      <c r="L651" s="105">
        <v>6684000</v>
      </c>
      <c r="N651" s="106"/>
      <c r="O651" s="106"/>
      <c r="P651" s="106"/>
      <c r="Q651" s="106"/>
      <c r="R651" s="106"/>
      <c r="S651" s="106"/>
    </row>
    <row r="652" spans="1:19" s="105" customFormat="1">
      <c r="A652" s="106"/>
      <c r="B652" s="194"/>
      <c r="C652" s="139"/>
      <c r="D652" s="140"/>
      <c r="E652" s="139"/>
      <c r="F652" s="139"/>
      <c r="G652" s="140"/>
      <c r="H652" s="139"/>
      <c r="I652" s="141"/>
      <c r="J652" s="142"/>
      <c r="K652" s="143" t="s">
        <v>730</v>
      </c>
      <c r="L652" s="105">
        <v>3766000</v>
      </c>
      <c r="N652" s="106"/>
      <c r="O652" s="106"/>
      <c r="P652" s="106"/>
      <c r="Q652" s="106"/>
      <c r="R652" s="106"/>
      <c r="S652" s="106"/>
    </row>
    <row r="653" spans="1:19" s="105" customFormat="1">
      <c r="A653" s="106"/>
      <c r="B653" s="194"/>
      <c r="C653" s="139"/>
      <c r="D653" s="140"/>
      <c r="E653" s="139"/>
      <c r="F653" s="139"/>
      <c r="G653" s="140"/>
      <c r="H653" s="139"/>
      <c r="I653" s="141"/>
      <c r="J653" s="142"/>
      <c r="K653" s="143"/>
      <c r="N653" s="106"/>
      <c r="O653" s="106"/>
      <c r="P653" s="106"/>
      <c r="Q653" s="106"/>
      <c r="R653" s="106"/>
      <c r="S653" s="106"/>
    </row>
    <row r="654" spans="1:19" s="105" customFormat="1">
      <c r="A654" s="106"/>
      <c r="B654" s="194" t="s">
        <v>140</v>
      </c>
      <c r="C654" s="139"/>
      <c r="D654" s="140"/>
      <c r="E654" s="139">
        <v>2.5</v>
      </c>
      <c r="F654" s="139"/>
      <c r="G654" s="140"/>
      <c r="H654" s="139">
        <v>5.8</v>
      </c>
      <c r="I654" s="141">
        <f t="shared" si="28"/>
        <v>3.3</v>
      </c>
      <c r="J654" s="142">
        <f t="shared" si="29"/>
        <v>56.896551724137936</v>
      </c>
      <c r="K654" s="143" t="s">
        <v>715</v>
      </c>
      <c r="N654" s="106"/>
      <c r="O654" s="106"/>
      <c r="P654" s="106"/>
      <c r="Q654" s="106"/>
      <c r="R654" s="106"/>
      <c r="S654" s="106"/>
    </row>
    <row r="655" spans="1:19" s="105" customFormat="1">
      <c r="A655" s="106"/>
      <c r="B655" s="194"/>
      <c r="C655" s="139"/>
      <c r="D655" s="140"/>
      <c r="E655" s="139"/>
      <c r="F655" s="139"/>
      <c r="G655" s="140"/>
      <c r="H655" s="139"/>
      <c r="I655" s="141"/>
      <c r="J655" s="142"/>
      <c r="K655" s="143" t="s">
        <v>732</v>
      </c>
      <c r="L655" s="105">
        <v>5800000</v>
      </c>
      <c r="N655" s="106"/>
      <c r="O655" s="106"/>
      <c r="P655" s="106"/>
      <c r="Q655" s="106"/>
      <c r="R655" s="106"/>
      <c r="S655" s="106"/>
    </row>
    <row r="656" spans="1:19" s="105" customFormat="1">
      <c r="A656" s="106"/>
      <c r="B656" s="194"/>
      <c r="C656" s="139"/>
      <c r="D656" s="140"/>
      <c r="E656" s="139"/>
      <c r="F656" s="139"/>
      <c r="G656" s="140"/>
      <c r="H656" s="139"/>
      <c r="I656" s="141"/>
      <c r="J656" s="142"/>
      <c r="K656" s="143"/>
      <c r="N656" s="106"/>
      <c r="O656" s="106"/>
      <c r="P656" s="106"/>
      <c r="Q656" s="106"/>
      <c r="R656" s="106"/>
      <c r="S656" s="106"/>
    </row>
    <row r="657" spans="1:19" s="105" customFormat="1">
      <c r="A657" s="106"/>
      <c r="B657" s="194"/>
      <c r="C657" s="139"/>
      <c r="D657" s="140"/>
      <c r="E657" s="139"/>
      <c r="F657" s="139"/>
      <c r="G657" s="140"/>
      <c r="H657" s="139"/>
      <c r="I657" s="141"/>
      <c r="J657" s="142"/>
      <c r="K657" s="143"/>
      <c r="N657" s="106"/>
      <c r="O657" s="106"/>
      <c r="P657" s="106"/>
      <c r="Q657" s="106"/>
      <c r="R657" s="106"/>
      <c r="S657" s="106"/>
    </row>
    <row r="658" spans="1:19" s="105" customFormat="1" ht="37.5">
      <c r="A658" s="106"/>
      <c r="B658" s="194" t="s">
        <v>141</v>
      </c>
      <c r="C658" s="139"/>
      <c r="D658" s="140"/>
      <c r="E658" s="139">
        <v>2</v>
      </c>
      <c r="F658" s="139"/>
      <c r="G658" s="140"/>
      <c r="H658" s="139">
        <v>0.9</v>
      </c>
      <c r="I658" s="141">
        <f t="shared" si="28"/>
        <v>-1.1000000000000001</v>
      </c>
      <c r="J658" s="142">
        <f t="shared" si="29"/>
        <v>-122.22222222222223</v>
      </c>
      <c r="K658" s="175" t="s">
        <v>724</v>
      </c>
      <c r="L658" s="105">
        <f>SUM(L659:L660)</f>
        <v>900000</v>
      </c>
      <c r="N658" s="106"/>
      <c r="O658" s="106"/>
      <c r="P658" s="106"/>
      <c r="Q658" s="106"/>
      <c r="R658" s="106"/>
      <c r="S658" s="106"/>
    </row>
    <row r="659" spans="1:19" s="105" customFormat="1">
      <c r="A659" s="106"/>
      <c r="B659" s="194"/>
      <c r="C659" s="139"/>
      <c r="D659" s="140"/>
      <c r="E659" s="139"/>
      <c r="F659" s="139"/>
      <c r="G659" s="140"/>
      <c r="H659" s="139"/>
      <c r="I659" s="141"/>
      <c r="J659" s="142"/>
      <c r="K659" s="143" t="s">
        <v>723</v>
      </c>
      <c r="L659" s="105">
        <v>800000</v>
      </c>
      <c r="N659" s="106"/>
      <c r="O659" s="106"/>
      <c r="P659" s="106"/>
      <c r="Q659" s="106"/>
      <c r="R659" s="106"/>
      <c r="S659" s="106"/>
    </row>
    <row r="660" spans="1:19" s="105" customFormat="1">
      <c r="A660" s="106"/>
      <c r="B660" s="194"/>
      <c r="C660" s="139"/>
      <c r="D660" s="140"/>
      <c r="E660" s="139"/>
      <c r="F660" s="139"/>
      <c r="G660" s="140"/>
      <c r="H660" s="139"/>
      <c r="I660" s="141"/>
      <c r="J660" s="142"/>
      <c r="K660" s="143" t="s">
        <v>730</v>
      </c>
      <c r="L660" s="105">
        <v>100000</v>
      </c>
      <c r="N660" s="106"/>
      <c r="O660" s="106"/>
      <c r="P660" s="106"/>
      <c r="Q660" s="106"/>
      <c r="R660" s="106"/>
      <c r="S660" s="106"/>
    </row>
    <row r="661" spans="1:19" s="105" customFormat="1">
      <c r="A661" s="106"/>
      <c r="B661" s="194" t="s">
        <v>142</v>
      </c>
      <c r="C661" s="139"/>
      <c r="D661" s="140"/>
      <c r="E661" s="139">
        <v>85</v>
      </c>
      <c r="F661" s="139"/>
      <c r="G661" s="140"/>
      <c r="H661" s="139">
        <v>74.357399999999998</v>
      </c>
      <c r="I661" s="141">
        <f t="shared" si="28"/>
        <v>-10.642600000000002</v>
      </c>
      <c r="J661" s="142">
        <f t="shared" si="29"/>
        <v>-14.312765104750842</v>
      </c>
      <c r="K661" s="143" t="s">
        <v>710</v>
      </c>
      <c r="L661" s="105">
        <f>SUM(L662:L664)</f>
        <v>74357400</v>
      </c>
      <c r="N661" s="106"/>
      <c r="O661" s="106"/>
      <c r="P661" s="106"/>
      <c r="Q661" s="106"/>
      <c r="R661" s="106"/>
      <c r="S661" s="106"/>
    </row>
    <row r="662" spans="1:19" s="105" customFormat="1">
      <c r="A662" s="106"/>
      <c r="B662" s="194"/>
      <c r="C662" s="139"/>
      <c r="D662" s="140"/>
      <c r="E662" s="139"/>
      <c r="F662" s="139"/>
      <c r="G662" s="140"/>
      <c r="H662" s="139"/>
      <c r="I662" s="141"/>
      <c r="J662" s="142"/>
      <c r="K662" s="143" t="s">
        <v>711</v>
      </c>
      <c r="L662" s="105">
        <v>65424900</v>
      </c>
      <c r="N662" s="106"/>
      <c r="O662" s="106"/>
      <c r="P662" s="106"/>
      <c r="Q662" s="106"/>
      <c r="R662" s="106"/>
      <c r="S662" s="106"/>
    </row>
    <row r="663" spans="1:19" s="105" customFormat="1">
      <c r="A663" s="106"/>
      <c r="B663" s="194"/>
      <c r="C663" s="139"/>
      <c r="D663" s="140"/>
      <c r="E663" s="139"/>
      <c r="F663" s="139"/>
      <c r="G663" s="140"/>
      <c r="H663" s="139"/>
      <c r="I663" s="141"/>
      <c r="J663" s="142"/>
      <c r="K663" s="143" t="s">
        <v>723</v>
      </c>
      <c r="L663" s="105">
        <v>5464500</v>
      </c>
      <c r="N663" s="106"/>
      <c r="O663" s="106"/>
      <c r="P663" s="106"/>
      <c r="Q663" s="106"/>
      <c r="R663" s="106"/>
      <c r="S663" s="106"/>
    </row>
    <row r="664" spans="1:19" s="105" customFormat="1">
      <c r="A664" s="106"/>
      <c r="B664" s="194"/>
      <c r="C664" s="139"/>
      <c r="D664" s="140"/>
      <c r="E664" s="139"/>
      <c r="F664" s="139"/>
      <c r="G664" s="140"/>
      <c r="H664" s="139"/>
      <c r="I664" s="141"/>
      <c r="J664" s="142"/>
      <c r="K664" s="143" t="s">
        <v>730</v>
      </c>
      <c r="L664" s="105">
        <v>3468000</v>
      </c>
      <c r="N664" s="106"/>
      <c r="O664" s="106"/>
      <c r="P664" s="106"/>
      <c r="Q664" s="106"/>
      <c r="R664" s="106"/>
      <c r="S664" s="106"/>
    </row>
    <row r="665" spans="1:19" s="105" customFormat="1">
      <c r="A665" s="106"/>
      <c r="B665" s="194"/>
      <c r="C665" s="139"/>
      <c r="D665" s="140"/>
      <c r="E665" s="139"/>
      <c r="F665" s="139"/>
      <c r="G665" s="140"/>
      <c r="H665" s="139"/>
      <c r="I665" s="141"/>
      <c r="J665" s="142"/>
      <c r="K665" s="143"/>
      <c r="N665" s="106"/>
      <c r="O665" s="106"/>
      <c r="P665" s="106"/>
      <c r="Q665" s="106"/>
      <c r="R665" s="106"/>
      <c r="S665" s="106"/>
    </row>
    <row r="666" spans="1:19" s="105" customFormat="1">
      <c r="A666" s="106"/>
      <c r="B666" s="194"/>
      <c r="C666" s="139"/>
      <c r="D666" s="140"/>
      <c r="E666" s="139"/>
      <c r="F666" s="139"/>
      <c r="G666" s="140"/>
      <c r="H666" s="139"/>
      <c r="I666" s="141"/>
      <c r="J666" s="142"/>
      <c r="K666" s="143"/>
      <c r="N666" s="106"/>
      <c r="O666" s="106"/>
      <c r="P666" s="106"/>
      <c r="Q666" s="106"/>
      <c r="R666" s="106"/>
      <c r="S666" s="106"/>
    </row>
    <row r="667" spans="1:19" s="105" customFormat="1" ht="56.25">
      <c r="A667" s="106"/>
      <c r="B667" s="175" t="s">
        <v>45</v>
      </c>
      <c r="C667" s="139"/>
      <c r="D667" s="140"/>
      <c r="E667" s="139">
        <f>SUM(E668:E672)</f>
        <v>16.1556</v>
      </c>
      <c r="F667" s="139"/>
      <c r="G667" s="331"/>
      <c r="H667" s="139">
        <v>35.306399999999996</v>
      </c>
      <c r="I667" s="141">
        <f t="shared" si="28"/>
        <v>19.150799999999997</v>
      </c>
      <c r="J667" s="142">
        <f t="shared" si="29"/>
        <v>54.241723880089722</v>
      </c>
      <c r="K667" s="175" t="s">
        <v>674</v>
      </c>
      <c r="N667" s="106"/>
      <c r="O667" s="106"/>
      <c r="P667" s="106"/>
      <c r="Q667" s="106"/>
      <c r="R667" s="106"/>
      <c r="S667" s="106"/>
    </row>
    <row r="668" spans="1:19" s="105" customFormat="1">
      <c r="A668" s="106"/>
      <c r="B668" s="194" t="s">
        <v>106</v>
      </c>
      <c r="C668" s="139"/>
      <c r="D668" s="140"/>
      <c r="E668" s="139">
        <v>2</v>
      </c>
      <c r="F668" s="139"/>
      <c r="G668" s="140"/>
      <c r="H668" s="139">
        <v>3.0384000000000002</v>
      </c>
      <c r="I668" s="141">
        <f t="shared" si="28"/>
        <v>1.0384000000000002</v>
      </c>
      <c r="J668" s="142">
        <f t="shared" si="29"/>
        <v>34.175882043180621</v>
      </c>
      <c r="K668" s="143"/>
      <c r="N668" s="106"/>
      <c r="O668" s="106"/>
      <c r="P668" s="106"/>
      <c r="Q668" s="106"/>
      <c r="R668" s="106"/>
      <c r="S668" s="106"/>
    </row>
    <row r="669" spans="1:19" s="105" customFormat="1">
      <c r="A669" s="106"/>
      <c r="B669" s="194" t="s">
        <v>107</v>
      </c>
      <c r="C669" s="139"/>
      <c r="D669" s="140"/>
      <c r="E669" s="139">
        <v>4</v>
      </c>
      <c r="F669" s="139"/>
      <c r="G669" s="140"/>
      <c r="H669" s="139">
        <v>11.059200000000001</v>
      </c>
      <c r="I669" s="141">
        <f t="shared" si="28"/>
        <v>7.0592000000000006</v>
      </c>
      <c r="J669" s="142">
        <f t="shared" si="29"/>
        <v>63.831018518518519</v>
      </c>
      <c r="K669" s="143"/>
      <c r="N669" s="106"/>
      <c r="O669" s="106"/>
      <c r="P669" s="106"/>
      <c r="Q669" s="106"/>
      <c r="R669" s="106"/>
      <c r="S669" s="106"/>
    </row>
    <row r="670" spans="1:19" s="105" customFormat="1">
      <c r="A670" s="106"/>
      <c r="B670" s="194" t="s">
        <v>108</v>
      </c>
      <c r="C670" s="139"/>
      <c r="D670" s="140"/>
      <c r="E670" s="139">
        <v>0.15559999999999999</v>
      </c>
      <c r="F670" s="139"/>
      <c r="G670" s="140"/>
      <c r="H670" s="139">
        <v>0.42959999999999998</v>
      </c>
      <c r="I670" s="141">
        <f t="shared" si="28"/>
        <v>0.27400000000000002</v>
      </c>
      <c r="J670" s="142">
        <f t="shared" si="29"/>
        <v>63.780260707635016</v>
      </c>
      <c r="K670" s="143"/>
      <c r="N670" s="106"/>
      <c r="O670" s="106"/>
      <c r="P670" s="106"/>
      <c r="Q670" s="106"/>
      <c r="R670" s="106"/>
      <c r="S670" s="106"/>
    </row>
    <row r="671" spans="1:19" s="105" customFormat="1">
      <c r="A671" s="106"/>
      <c r="B671" s="194" t="s">
        <v>109</v>
      </c>
      <c r="C671" s="139"/>
      <c r="D671" s="140"/>
      <c r="E671" s="139">
        <v>10</v>
      </c>
      <c r="F671" s="139"/>
      <c r="G671" s="140"/>
      <c r="H671" s="139">
        <v>20.779199999999999</v>
      </c>
      <c r="I671" s="141">
        <f t="shared" si="28"/>
        <v>10.779199999999999</v>
      </c>
      <c r="J671" s="142">
        <f t="shared" si="29"/>
        <v>51.874951874951869</v>
      </c>
      <c r="K671" s="143"/>
      <c r="N671" s="106"/>
      <c r="O671" s="106"/>
      <c r="P671" s="106"/>
      <c r="Q671" s="106"/>
      <c r="R671" s="106"/>
      <c r="S671" s="106"/>
    </row>
    <row r="672" spans="1:19" s="105" customFormat="1">
      <c r="A672" s="106"/>
      <c r="B672" s="194" t="s">
        <v>111</v>
      </c>
      <c r="C672" s="139"/>
      <c r="D672" s="140"/>
      <c r="E672" s="139"/>
      <c r="F672" s="139"/>
      <c r="G672" s="140"/>
      <c r="H672" s="139"/>
      <c r="I672" s="141"/>
      <c r="J672" s="142"/>
      <c r="K672" s="143"/>
      <c r="N672" s="106"/>
      <c r="O672" s="106"/>
      <c r="P672" s="106"/>
      <c r="Q672" s="106"/>
      <c r="R672" s="106"/>
      <c r="S672" s="106"/>
    </row>
    <row r="673" spans="1:19" s="105" customFormat="1">
      <c r="A673" s="106"/>
      <c r="B673" s="175" t="s">
        <v>46</v>
      </c>
      <c r="C673" s="139"/>
      <c r="D673" s="140"/>
      <c r="E673" s="139">
        <f>+E674+E685</f>
        <v>68.890900000000002</v>
      </c>
      <c r="F673" s="139"/>
      <c r="G673" s="140"/>
      <c r="H673" s="139">
        <f>+H674+H685</f>
        <v>337.94839999999999</v>
      </c>
      <c r="I673" s="141">
        <f t="shared" si="28"/>
        <v>269.0575</v>
      </c>
      <c r="J673" s="142">
        <f t="shared" si="29"/>
        <v>79.614964888130856</v>
      </c>
      <c r="K673" s="143"/>
      <c r="N673" s="106"/>
      <c r="O673" s="106"/>
      <c r="P673" s="106"/>
      <c r="Q673" s="106"/>
      <c r="R673" s="106"/>
      <c r="S673" s="106"/>
    </row>
    <row r="674" spans="1:19" s="105" customFormat="1">
      <c r="A674" s="106"/>
      <c r="B674" s="175" t="s">
        <v>47</v>
      </c>
      <c r="C674" s="139"/>
      <c r="D674" s="140"/>
      <c r="E674" s="139">
        <f>+E676</f>
        <v>14.0489</v>
      </c>
      <c r="F674" s="139"/>
      <c r="G674" s="140"/>
      <c r="H674" s="139">
        <f>+H676</f>
        <v>59.3369</v>
      </c>
      <c r="I674" s="141">
        <f t="shared" si="28"/>
        <v>45.287999999999997</v>
      </c>
      <c r="J674" s="142">
        <f t="shared" si="29"/>
        <v>76.323501901851955</v>
      </c>
      <c r="K674" s="143"/>
      <c r="N674" s="106"/>
      <c r="O674" s="106"/>
      <c r="P674" s="106"/>
      <c r="Q674" s="106"/>
      <c r="R674" s="106"/>
      <c r="S674" s="106"/>
    </row>
    <row r="675" spans="1:19" s="105" customFormat="1">
      <c r="A675" s="106"/>
      <c r="B675" s="175" t="s">
        <v>19</v>
      </c>
      <c r="C675" s="139"/>
      <c r="D675" s="140"/>
      <c r="E675" s="139"/>
      <c r="F675" s="139"/>
      <c r="G675" s="140"/>
      <c r="H675" s="139"/>
      <c r="I675" s="139"/>
      <c r="J675" s="139"/>
      <c r="K675" s="143"/>
      <c r="N675" s="106"/>
      <c r="O675" s="106"/>
      <c r="P675" s="106"/>
      <c r="Q675" s="106"/>
      <c r="R675" s="106"/>
      <c r="S675" s="106"/>
    </row>
    <row r="676" spans="1:19" s="105" customFormat="1">
      <c r="A676" s="106"/>
      <c r="B676" s="175" t="s">
        <v>110</v>
      </c>
      <c r="C676" s="139"/>
      <c r="D676" s="140"/>
      <c r="E676" s="139">
        <v>14.0489</v>
      </c>
      <c r="F676" s="139"/>
      <c r="G676" s="140"/>
      <c r="H676" s="139">
        <f>+H677</f>
        <v>59.3369</v>
      </c>
      <c r="I676" s="141">
        <f t="shared" si="28"/>
        <v>45.287999999999997</v>
      </c>
      <c r="J676" s="142">
        <f t="shared" si="29"/>
        <v>76.323501901851955</v>
      </c>
      <c r="K676" s="143"/>
      <c r="N676" s="106"/>
      <c r="O676" s="106"/>
      <c r="P676" s="106"/>
      <c r="Q676" s="106"/>
      <c r="R676" s="106"/>
      <c r="S676" s="106"/>
    </row>
    <row r="677" spans="1:19" s="105" customFormat="1">
      <c r="A677" s="106"/>
      <c r="B677" s="194" t="s">
        <v>678</v>
      </c>
      <c r="C677" s="139"/>
      <c r="D677" s="140"/>
      <c r="E677" s="139"/>
      <c r="F677" s="139"/>
      <c r="G677" s="140"/>
      <c r="H677" s="139">
        <v>59.3369</v>
      </c>
      <c r="I677" s="141">
        <f t="shared" si="28"/>
        <v>59.3369</v>
      </c>
      <c r="J677" s="142">
        <f t="shared" si="29"/>
        <v>100</v>
      </c>
      <c r="K677" s="143"/>
      <c r="N677" s="106"/>
      <c r="O677" s="106"/>
      <c r="P677" s="106"/>
      <c r="Q677" s="106"/>
      <c r="R677" s="106"/>
      <c r="S677" s="106"/>
    </row>
    <row r="678" spans="1:19" s="105" customFormat="1">
      <c r="A678" s="106"/>
      <c r="B678" s="194" t="s">
        <v>18</v>
      </c>
      <c r="C678" s="139"/>
      <c r="D678" s="140"/>
      <c r="E678" s="139"/>
      <c r="F678" s="139"/>
      <c r="G678" s="140"/>
      <c r="H678" s="139"/>
      <c r="I678" s="141"/>
      <c r="J678" s="142"/>
      <c r="K678" s="143"/>
      <c r="N678" s="106"/>
      <c r="O678" s="106"/>
      <c r="P678" s="106"/>
      <c r="Q678" s="106"/>
      <c r="R678" s="106"/>
      <c r="S678" s="106"/>
    </row>
    <row r="679" spans="1:19" s="105" customFormat="1">
      <c r="A679" s="106"/>
      <c r="B679" s="175" t="s">
        <v>22</v>
      </c>
      <c r="C679" s="139"/>
      <c r="D679" s="140"/>
      <c r="E679" s="139"/>
      <c r="F679" s="139"/>
      <c r="G679" s="140"/>
      <c r="H679" s="139"/>
      <c r="I679" s="141"/>
      <c r="J679" s="142"/>
      <c r="K679" s="143"/>
      <c r="N679" s="106"/>
      <c r="O679" s="106"/>
      <c r="P679" s="106"/>
      <c r="Q679" s="106"/>
      <c r="R679" s="106"/>
      <c r="S679" s="106"/>
    </row>
    <row r="680" spans="1:19" s="105" customFormat="1">
      <c r="A680" s="106"/>
      <c r="B680" s="175" t="s">
        <v>48</v>
      </c>
      <c r="C680" s="139"/>
      <c r="D680" s="140"/>
      <c r="E680" s="139"/>
      <c r="F680" s="139"/>
      <c r="G680" s="140"/>
      <c r="H680" s="139"/>
      <c r="I680" s="141"/>
      <c r="J680" s="142"/>
      <c r="K680" s="143"/>
      <c r="N680" s="106"/>
      <c r="O680" s="106"/>
      <c r="P680" s="106"/>
      <c r="Q680" s="106"/>
      <c r="R680" s="106"/>
      <c r="S680" s="106"/>
    </row>
    <row r="681" spans="1:19" s="105" customFormat="1">
      <c r="A681" s="106"/>
      <c r="B681" s="194" t="s">
        <v>23</v>
      </c>
      <c r="C681" s="139"/>
      <c r="D681" s="140"/>
      <c r="E681" s="139"/>
      <c r="F681" s="139"/>
      <c r="G681" s="140"/>
      <c r="H681" s="139"/>
      <c r="I681" s="141"/>
      <c r="J681" s="142"/>
      <c r="K681" s="143"/>
      <c r="N681" s="106"/>
      <c r="O681" s="106"/>
      <c r="P681" s="106"/>
      <c r="Q681" s="106"/>
      <c r="R681" s="106"/>
      <c r="S681" s="106"/>
    </row>
    <row r="682" spans="1:19" s="105" customFormat="1">
      <c r="A682" s="106"/>
      <c r="B682" s="175" t="s">
        <v>20</v>
      </c>
      <c r="C682" s="139"/>
      <c r="D682" s="140"/>
      <c r="E682" s="139"/>
      <c r="F682" s="139"/>
      <c r="G682" s="140"/>
      <c r="H682" s="139"/>
      <c r="I682" s="141"/>
      <c r="J682" s="142"/>
      <c r="K682" s="143"/>
      <c r="N682" s="106"/>
      <c r="O682" s="106"/>
      <c r="P682" s="106"/>
      <c r="Q682" s="106"/>
      <c r="R682" s="106"/>
      <c r="S682" s="106"/>
    </row>
    <row r="683" spans="1:19" s="105" customFormat="1">
      <c r="A683" s="106"/>
      <c r="B683" s="175" t="s">
        <v>48</v>
      </c>
      <c r="C683" s="139"/>
      <c r="D683" s="140"/>
      <c r="E683" s="139"/>
      <c r="F683" s="139"/>
      <c r="G683" s="140"/>
      <c r="H683" s="139"/>
      <c r="I683" s="141"/>
      <c r="J683" s="142"/>
      <c r="K683" s="143"/>
      <c r="N683" s="106"/>
      <c r="O683" s="106"/>
      <c r="P683" s="106"/>
      <c r="Q683" s="106"/>
      <c r="R683" s="106"/>
      <c r="S683" s="106"/>
    </row>
    <row r="684" spans="1:19" s="105" customFormat="1">
      <c r="A684" s="106"/>
      <c r="B684" s="194" t="s">
        <v>23</v>
      </c>
      <c r="C684" s="139"/>
      <c r="D684" s="140"/>
      <c r="E684" s="139"/>
      <c r="F684" s="139"/>
      <c r="G684" s="140"/>
      <c r="H684" s="139"/>
      <c r="I684" s="141"/>
      <c r="J684" s="142"/>
      <c r="K684" s="143"/>
      <c r="N684" s="106"/>
      <c r="O684" s="106"/>
      <c r="P684" s="106"/>
      <c r="Q684" s="106"/>
      <c r="R684" s="106"/>
      <c r="S684" s="106"/>
    </row>
    <row r="685" spans="1:19" s="105" customFormat="1">
      <c r="A685" s="106"/>
      <c r="B685" s="175" t="s">
        <v>49</v>
      </c>
      <c r="C685" s="139"/>
      <c r="D685" s="140"/>
      <c r="E685" s="139">
        <f>+E687</f>
        <v>54.841999999999999</v>
      </c>
      <c r="F685" s="139"/>
      <c r="G685" s="140"/>
      <c r="H685" s="139">
        <f>+H687</f>
        <v>278.61149999999998</v>
      </c>
      <c r="I685" s="141">
        <f t="shared" si="28"/>
        <v>223.76949999999999</v>
      </c>
      <c r="J685" s="142">
        <f t="shared" si="29"/>
        <v>80.315959678620601</v>
      </c>
      <c r="K685" s="143"/>
      <c r="N685" s="106"/>
      <c r="O685" s="106"/>
      <c r="P685" s="106"/>
      <c r="Q685" s="106"/>
      <c r="R685" s="106"/>
      <c r="S685" s="106"/>
    </row>
    <row r="686" spans="1:19" s="105" customFormat="1">
      <c r="A686" s="106"/>
      <c r="B686" s="175" t="s">
        <v>19</v>
      </c>
      <c r="C686" s="139"/>
      <c r="D686" s="140"/>
      <c r="E686" s="139"/>
      <c r="F686" s="139"/>
      <c r="G686" s="140"/>
      <c r="H686" s="139"/>
      <c r="I686" s="139"/>
      <c r="J686" s="139"/>
      <c r="K686" s="143"/>
      <c r="N686" s="106"/>
      <c r="O686" s="106"/>
      <c r="P686" s="106"/>
      <c r="Q686" s="106"/>
      <c r="R686" s="106"/>
      <c r="S686" s="106"/>
    </row>
    <row r="687" spans="1:19" s="105" customFormat="1">
      <c r="A687" s="106"/>
      <c r="B687" s="175" t="s">
        <v>50</v>
      </c>
      <c r="C687" s="139"/>
      <c r="D687" s="140"/>
      <c r="E687" s="139">
        <v>54.841999999999999</v>
      </c>
      <c r="F687" s="139"/>
      <c r="G687" s="140"/>
      <c r="H687" s="139">
        <v>278.61149999999998</v>
      </c>
      <c r="I687" s="141">
        <f t="shared" si="28"/>
        <v>223.76949999999999</v>
      </c>
      <c r="J687" s="142">
        <f t="shared" si="29"/>
        <v>80.315959678620601</v>
      </c>
      <c r="K687" s="143"/>
      <c r="N687" s="106"/>
      <c r="O687" s="106"/>
      <c r="P687" s="106"/>
      <c r="Q687" s="106"/>
      <c r="R687" s="106"/>
      <c r="S687" s="106"/>
    </row>
    <row r="688" spans="1:19" s="105" customFormat="1" ht="27.75" customHeight="1">
      <c r="A688" s="106"/>
      <c r="B688" s="194" t="s">
        <v>17</v>
      </c>
      <c r="C688" s="139"/>
      <c r="D688" s="140"/>
      <c r="E688" s="139"/>
      <c r="F688" s="139"/>
      <c r="G688" s="140"/>
      <c r="H688" s="139"/>
      <c r="I688" s="141"/>
      <c r="J688" s="142"/>
      <c r="K688" s="143"/>
      <c r="N688" s="106"/>
      <c r="O688" s="106"/>
      <c r="P688" s="106"/>
      <c r="Q688" s="106"/>
      <c r="R688" s="106"/>
      <c r="S688" s="106"/>
    </row>
    <row r="689" spans="1:19" s="105" customFormat="1" ht="27.75" customHeight="1">
      <c r="A689" s="106"/>
      <c r="B689" s="194" t="s">
        <v>18</v>
      </c>
      <c r="C689" s="139"/>
      <c r="D689" s="140"/>
      <c r="E689" s="139"/>
      <c r="F689" s="139"/>
      <c r="G689" s="140"/>
      <c r="H689" s="139"/>
      <c r="I689" s="141"/>
      <c r="J689" s="142"/>
      <c r="K689" s="143"/>
      <c r="N689" s="106"/>
      <c r="O689" s="106"/>
      <c r="P689" s="106"/>
      <c r="Q689" s="106"/>
      <c r="R689" s="106"/>
      <c r="S689" s="106"/>
    </row>
    <row r="690" spans="1:19" s="105" customFormat="1">
      <c r="A690" s="106"/>
      <c r="B690" s="175" t="s">
        <v>22</v>
      </c>
      <c r="C690" s="139"/>
      <c r="D690" s="140"/>
      <c r="E690" s="139"/>
      <c r="F690" s="139"/>
      <c r="G690" s="140"/>
      <c r="H690" s="139"/>
      <c r="I690" s="141"/>
      <c r="J690" s="142"/>
      <c r="K690" s="143"/>
      <c r="N690" s="106"/>
      <c r="O690" s="106"/>
      <c r="P690" s="106"/>
      <c r="Q690" s="106"/>
      <c r="R690" s="106"/>
      <c r="S690" s="106"/>
    </row>
    <row r="691" spans="1:19" s="105" customFormat="1">
      <c r="A691" s="106"/>
      <c r="B691" s="175" t="s">
        <v>51</v>
      </c>
      <c r="C691" s="139"/>
      <c r="D691" s="140"/>
      <c r="E691" s="139"/>
      <c r="F691" s="139"/>
      <c r="G691" s="140"/>
      <c r="H691" s="139"/>
      <c r="I691" s="141"/>
      <c r="J691" s="142"/>
      <c r="K691" s="143"/>
      <c r="N691" s="106"/>
      <c r="O691" s="106"/>
      <c r="P691" s="106"/>
      <c r="Q691" s="106"/>
      <c r="R691" s="106"/>
      <c r="S691" s="106"/>
    </row>
    <row r="692" spans="1:19" s="105" customFormat="1">
      <c r="A692" s="106"/>
      <c r="B692" s="194" t="s">
        <v>23</v>
      </c>
      <c r="C692" s="139"/>
      <c r="D692" s="140"/>
      <c r="E692" s="139"/>
      <c r="F692" s="139"/>
      <c r="G692" s="140"/>
      <c r="H692" s="139"/>
      <c r="I692" s="141"/>
      <c r="J692" s="142"/>
      <c r="K692" s="143"/>
      <c r="N692" s="106"/>
      <c r="O692" s="106"/>
      <c r="P692" s="106"/>
      <c r="Q692" s="106"/>
      <c r="R692" s="106"/>
      <c r="S692" s="106"/>
    </row>
    <row r="693" spans="1:19" s="105" customFormat="1">
      <c r="A693" s="106"/>
      <c r="B693" s="175" t="s">
        <v>20</v>
      </c>
      <c r="C693" s="139"/>
      <c r="D693" s="140"/>
      <c r="E693" s="139"/>
      <c r="F693" s="139"/>
      <c r="G693" s="140"/>
      <c r="H693" s="139"/>
      <c r="I693" s="141"/>
      <c r="J693" s="142"/>
      <c r="K693" s="143"/>
      <c r="N693" s="106"/>
      <c r="O693" s="106"/>
      <c r="P693" s="106"/>
      <c r="Q693" s="106"/>
      <c r="R693" s="106"/>
      <c r="S693" s="106"/>
    </row>
    <row r="694" spans="1:19" s="105" customFormat="1">
      <c r="A694" s="106"/>
      <c r="B694" s="175" t="s">
        <v>51</v>
      </c>
      <c r="C694" s="139"/>
      <c r="D694" s="140"/>
      <c r="E694" s="139"/>
      <c r="F694" s="139"/>
      <c r="G694" s="140"/>
      <c r="H694" s="139"/>
      <c r="I694" s="141"/>
      <c r="J694" s="142"/>
      <c r="K694" s="143"/>
      <c r="N694" s="106"/>
      <c r="O694" s="106"/>
      <c r="P694" s="106"/>
      <c r="Q694" s="106"/>
      <c r="R694" s="106"/>
      <c r="S694" s="106"/>
    </row>
    <row r="695" spans="1:19" s="105" customFormat="1">
      <c r="A695" s="106"/>
      <c r="B695" s="194" t="s">
        <v>23</v>
      </c>
      <c r="C695" s="139"/>
      <c r="D695" s="140"/>
      <c r="E695" s="139"/>
      <c r="F695" s="139"/>
      <c r="G695" s="140"/>
      <c r="H695" s="139"/>
      <c r="I695" s="141"/>
      <c r="J695" s="142"/>
      <c r="K695" s="143"/>
      <c r="N695" s="106"/>
      <c r="O695" s="106"/>
      <c r="P695" s="106"/>
      <c r="Q695" s="106"/>
      <c r="R695" s="106"/>
      <c r="S695" s="106"/>
    </row>
    <row r="696" spans="1:19" s="105" customFormat="1">
      <c r="A696" s="106"/>
      <c r="B696" s="175" t="s">
        <v>53</v>
      </c>
      <c r="C696" s="139"/>
      <c r="D696" s="140"/>
      <c r="E696" s="139">
        <f>SUM(E697:E700)</f>
        <v>174.6207</v>
      </c>
      <c r="F696" s="139"/>
      <c r="G696" s="140"/>
      <c r="H696" s="139">
        <f>SUM(H697:H700)</f>
        <v>182.1</v>
      </c>
      <c r="I696" s="141">
        <f t="shared" si="28"/>
        <v>7.479299999999995</v>
      </c>
      <c r="J696" s="142">
        <f t="shared" si="29"/>
        <v>4.1072487644151536</v>
      </c>
      <c r="K696" s="143"/>
      <c r="N696" s="106"/>
      <c r="O696" s="106"/>
      <c r="P696" s="106"/>
      <c r="Q696" s="106"/>
      <c r="R696" s="106"/>
      <c r="S696" s="106"/>
    </row>
    <row r="697" spans="1:19" s="105" customFormat="1">
      <c r="A697" s="106"/>
      <c r="B697" s="175" t="s">
        <v>52</v>
      </c>
      <c r="C697" s="139"/>
      <c r="D697" s="140"/>
      <c r="E697" s="139"/>
      <c r="F697" s="139"/>
      <c r="G697" s="140"/>
      <c r="H697" s="139"/>
      <c r="I697" s="139"/>
      <c r="J697" s="139"/>
      <c r="K697" s="143"/>
      <c r="N697" s="106"/>
      <c r="O697" s="106"/>
      <c r="P697" s="106"/>
      <c r="Q697" s="106"/>
      <c r="R697" s="106"/>
      <c r="S697" s="106"/>
    </row>
    <row r="698" spans="1:19" s="105" customFormat="1" ht="37.5">
      <c r="A698" s="106"/>
      <c r="B698" s="175" t="s">
        <v>143</v>
      </c>
      <c r="C698" s="139"/>
      <c r="D698" s="140"/>
      <c r="E698" s="139">
        <v>174.6207</v>
      </c>
      <c r="F698" s="139"/>
      <c r="G698" s="140"/>
      <c r="H698" s="139">
        <v>182.1</v>
      </c>
      <c r="I698" s="141">
        <f t="shared" si="28"/>
        <v>7.479299999999995</v>
      </c>
      <c r="J698" s="142">
        <f t="shared" si="29"/>
        <v>4.1072487644151536</v>
      </c>
      <c r="K698" s="143" t="s">
        <v>679</v>
      </c>
      <c r="N698" s="106"/>
      <c r="O698" s="106"/>
      <c r="P698" s="106"/>
      <c r="Q698" s="106"/>
      <c r="R698" s="106"/>
      <c r="S698" s="106"/>
    </row>
    <row r="699" spans="1:19" s="105" customFormat="1">
      <c r="A699" s="106"/>
      <c r="B699" s="175" t="s">
        <v>55</v>
      </c>
      <c r="C699" s="139"/>
      <c r="D699" s="140"/>
      <c r="E699" s="139"/>
      <c r="F699" s="139"/>
      <c r="G699" s="140"/>
      <c r="H699" s="139"/>
      <c r="I699" s="139"/>
      <c r="J699" s="139"/>
      <c r="K699" s="143"/>
      <c r="N699" s="106"/>
      <c r="O699" s="106"/>
      <c r="P699" s="106"/>
      <c r="Q699" s="106"/>
      <c r="R699" s="106"/>
      <c r="S699" s="106"/>
    </row>
    <row r="700" spans="1:19" s="105" customFormat="1">
      <c r="A700" s="106"/>
      <c r="B700" s="175"/>
      <c r="C700" s="139"/>
      <c r="D700" s="140"/>
      <c r="E700" s="139"/>
      <c r="F700" s="139"/>
      <c r="G700" s="140"/>
      <c r="H700" s="139"/>
      <c r="I700" s="139"/>
      <c r="J700" s="139"/>
      <c r="K700" s="143"/>
      <c r="N700" s="106"/>
      <c r="O700" s="106"/>
      <c r="P700" s="106"/>
      <c r="Q700" s="106"/>
      <c r="R700" s="106"/>
      <c r="S700" s="106"/>
    </row>
    <row r="701" spans="1:19" s="105" customFormat="1">
      <c r="A701" s="106"/>
      <c r="B701" s="175" t="s">
        <v>56</v>
      </c>
      <c r="C701" s="139"/>
      <c r="D701" s="140"/>
      <c r="E701" s="139">
        <f>SUM(E702:E703)</f>
        <v>0</v>
      </c>
      <c r="F701" s="139"/>
      <c r="G701" s="140"/>
      <c r="H701" s="139">
        <f>SUM(H702:H703)</f>
        <v>0</v>
      </c>
      <c r="I701" s="141">
        <f t="shared" si="28"/>
        <v>0</v>
      </c>
      <c r="J701" s="141">
        <f t="shared" si="28"/>
        <v>0</v>
      </c>
      <c r="K701" s="143"/>
      <c r="N701" s="106"/>
      <c r="O701" s="106"/>
      <c r="P701" s="106"/>
      <c r="Q701" s="106"/>
      <c r="R701" s="106"/>
      <c r="S701" s="106"/>
    </row>
    <row r="702" spans="1:19" s="105" customFormat="1">
      <c r="A702" s="106"/>
      <c r="B702" s="175"/>
      <c r="C702" s="139"/>
      <c r="D702" s="140"/>
      <c r="E702" s="139"/>
      <c r="F702" s="139"/>
      <c r="G702" s="140"/>
      <c r="H702" s="139"/>
      <c r="I702" s="139"/>
      <c r="J702" s="139"/>
      <c r="K702" s="143"/>
      <c r="N702" s="106"/>
      <c r="O702" s="106"/>
      <c r="P702" s="106"/>
      <c r="Q702" s="106"/>
      <c r="R702" s="106"/>
      <c r="S702" s="106"/>
    </row>
    <row r="703" spans="1:19" s="105" customFormat="1">
      <c r="A703" s="106"/>
      <c r="B703" s="175"/>
      <c r="C703" s="139"/>
      <c r="D703" s="140"/>
      <c r="E703" s="139"/>
      <c r="F703" s="139"/>
      <c r="G703" s="140"/>
      <c r="H703" s="139"/>
      <c r="I703" s="139"/>
      <c r="J703" s="139"/>
      <c r="K703" s="143"/>
      <c r="N703" s="106"/>
      <c r="O703" s="106"/>
      <c r="P703" s="106"/>
      <c r="Q703" s="106"/>
      <c r="R703" s="106"/>
      <c r="S703" s="106"/>
    </row>
    <row r="704" spans="1:19" s="105" customFormat="1" ht="45" customHeight="1">
      <c r="A704" s="106"/>
      <c r="B704" s="286" t="s">
        <v>144</v>
      </c>
      <c r="C704" s="139"/>
      <c r="D704" s="140"/>
      <c r="E704" s="139">
        <f>+E706+E795+E818+E821</f>
        <v>34.324300000000001</v>
      </c>
      <c r="F704" s="139"/>
      <c r="G704" s="140"/>
      <c r="H704" s="139">
        <f>+H706+H795+H818+H821</f>
        <v>72.318600000000004</v>
      </c>
      <c r="I704" s="141">
        <f t="shared" ref="I704" si="30">+H704-E704</f>
        <v>37.994300000000003</v>
      </c>
      <c r="J704" s="142">
        <f t="shared" si="29"/>
        <v>52.537383190493181</v>
      </c>
      <c r="K704" s="143"/>
      <c r="L704" s="319"/>
      <c r="N704" s="106"/>
      <c r="O704" s="106"/>
      <c r="P704" s="106"/>
      <c r="Q704" s="106"/>
      <c r="R704" s="106"/>
      <c r="S704" s="106"/>
    </row>
    <row r="705" spans="1:19" s="105" customFormat="1" ht="27.75" customHeight="1">
      <c r="A705" s="106"/>
      <c r="B705" s="245" t="s">
        <v>94</v>
      </c>
      <c r="C705" s="139"/>
      <c r="D705" s="140"/>
      <c r="E705" s="139"/>
      <c r="F705" s="139"/>
      <c r="G705" s="140"/>
      <c r="H705" s="139"/>
      <c r="I705" s="141"/>
      <c r="J705" s="142"/>
      <c r="K705" s="143"/>
      <c r="L705" s="324"/>
      <c r="N705" s="106"/>
      <c r="O705" s="106"/>
      <c r="P705" s="106"/>
      <c r="Q705" s="106"/>
      <c r="R705" s="106"/>
      <c r="S705" s="106"/>
    </row>
    <row r="706" spans="1:19" s="105" customFormat="1">
      <c r="A706" s="106"/>
      <c r="B706" s="175" t="s">
        <v>38</v>
      </c>
      <c r="C706" s="139"/>
      <c r="D706" s="140"/>
      <c r="E706" s="139">
        <f>+E707+E789</f>
        <v>34.324300000000001</v>
      </c>
      <c r="F706" s="139"/>
      <c r="G706" s="140"/>
      <c r="H706" s="139">
        <f>+H707+H789</f>
        <v>70.918599999999998</v>
      </c>
      <c r="I706" s="141">
        <f t="shared" ref="I706:I767" si="31">+H706-E706</f>
        <v>36.594299999999997</v>
      </c>
      <c r="J706" s="142">
        <f t="shared" ref="J706:J767" si="32">+I706*100/H706</f>
        <v>51.60042640435654</v>
      </c>
      <c r="K706" s="143"/>
      <c r="N706" s="106"/>
      <c r="O706" s="106"/>
      <c r="P706" s="106"/>
      <c r="Q706" s="106"/>
      <c r="R706" s="106"/>
      <c r="S706" s="106"/>
    </row>
    <row r="707" spans="1:19" s="105" customFormat="1">
      <c r="A707" s="106"/>
      <c r="B707" s="175" t="s">
        <v>41</v>
      </c>
      <c r="C707" s="139"/>
      <c r="D707" s="140"/>
      <c r="E707" s="139">
        <f>+E708+E715+E755</f>
        <v>34.324300000000001</v>
      </c>
      <c r="F707" s="139"/>
      <c r="G707" s="140"/>
      <c r="H707" s="139">
        <f>+H708+H715+H755</f>
        <v>70.918599999999998</v>
      </c>
      <c r="I707" s="141">
        <f t="shared" si="31"/>
        <v>36.594299999999997</v>
      </c>
      <c r="J707" s="142">
        <f t="shared" si="32"/>
        <v>51.60042640435654</v>
      </c>
      <c r="K707" s="143"/>
      <c r="N707" s="106"/>
      <c r="O707" s="106"/>
      <c r="P707" s="106"/>
      <c r="Q707" s="106"/>
      <c r="R707" s="106"/>
      <c r="S707" s="106"/>
    </row>
    <row r="708" spans="1:19" s="105" customFormat="1">
      <c r="A708" s="106"/>
      <c r="B708" s="175" t="s">
        <v>42</v>
      </c>
      <c r="C708" s="139"/>
      <c r="D708" s="140"/>
      <c r="E708" s="139">
        <f>SUM(E709:E709)</f>
        <v>2</v>
      </c>
      <c r="F708" s="139"/>
      <c r="G708" s="140"/>
      <c r="H708" s="139">
        <f>SUM(H709:H709)</f>
        <v>4.8213999999999997</v>
      </c>
      <c r="I708" s="141">
        <f t="shared" si="31"/>
        <v>2.8213999999999997</v>
      </c>
      <c r="J708" s="142">
        <f t="shared" si="32"/>
        <v>58.518272700875265</v>
      </c>
      <c r="K708" s="143"/>
      <c r="N708" s="106"/>
      <c r="O708" s="106"/>
      <c r="P708" s="106"/>
      <c r="Q708" s="106"/>
      <c r="R708" s="106"/>
      <c r="S708" s="106"/>
    </row>
    <row r="709" spans="1:19" s="105" customFormat="1">
      <c r="A709" s="106"/>
      <c r="B709" s="194" t="s">
        <v>112</v>
      </c>
      <c r="C709" s="139"/>
      <c r="D709" s="140"/>
      <c r="E709" s="139">
        <v>2</v>
      </c>
      <c r="F709" s="139"/>
      <c r="G709" s="140"/>
      <c r="H709" s="139">
        <f>4.6708+0.1506</f>
        <v>4.8213999999999997</v>
      </c>
      <c r="I709" s="141">
        <f t="shared" si="31"/>
        <v>2.8213999999999997</v>
      </c>
      <c r="J709" s="142">
        <f t="shared" si="32"/>
        <v>58.518272700875265</v>
      </c>
      <c r="K709" s="175" t="s">
        <v>644</v>
      </c>
      <c r="L709" s="332">
        <f>SUM(L710:L713)</f>
        <v>4670800</v>
      </c>
      <c r="N709" s="106"/>
      <c r="O709" s="106"/>
      <c r="P709" s="106"/>
      <c r="Q709" s="106"/>
      <c r="R709" s="106"/>
      <c r="S709" s="106"/>
    </row>
    <row r="710" spans="1:19" s="105" customFormat="1" ht="56.25">
      <c r="A710" s="106"/>
      <c r="B710" s="194"/>
      <c r="C710" s="139"/>
      <c r="D710" s="140"/>
      <c r="E710" s="139"/>
      <c r="F710" s="139"/>
      <c r="G710" s="140"/>
      <c r="H710" s="139"/>
      <c r="I710" s="141"/>
      <c r="J710" s="142"/>
      <c r="K710" s="175" t="s">
        <v>645</v>
      </c>
      <c r="L710" s="105">
        <v>756000</v>
      </c>
      <c r="N710" s="106"/>
      <c r="O710" s="106"/>
      <c r="P710" s="106"/>
      <c r="Q710" s="106"/>
      <c r="R710" s="106"/>
      <c r="S710" s="106"/>
    </row>
    <row r="711" spans="1:19" s="105" customFormat="1" ht="37.5">
      <c r="A711" s="106"/>
      <c r="B711" s="194"/>
      <c r="C711" s="139"/>
      <c r="D711" s="140"/>
      <c r="E711" s="139"/>
      <c r="F711" s="139"/>
      <c r="G711" s="140"/>
      <c r="H711" s="139"/>
      <c r="I711" s="141"/>
      <c r="J711" s="142"/>
      <c r="K711" s="175" t="s">
        <v>646</v>
      </c>
      <c r="L711" s="105">
        <v>900000</v>
      </c>
      <c r="N711" s="106"/>
      <c r="O711" s="106"/>
      <c r="P711" s="106"/>
      <c r="Q711" s="106"/>
      <c r="R711" s="106"/>
      <c r="S711" s="106"/>
    </row>
    <row r="712" spans="1:19" s="105" customFormat="1" ht="37.5">
      <c r="A712" s="106"/>
      <c r="B712" s="194"/>
      <c r="C712" s="139"/>
      <c r="D712" s="140"/>
      <c r="E712" s="139"/>
      <c r="F712" s="139"/>
      <c r="G712" s="140"/>
      <c r="H712" s="139"/>
      <c r="I712" s="141"/>
      <c r="J712" s="142"/>
      <c r="K712" s="175" t="s">
        <v>652</v>
      </c>
      <c r="L712" s="105">
        <v>367200</v>
      </c>
      <c r="N712" s="106"/>
      <c r="O712" s="106"/>
      <c r="P712" s="106"/>
      <c r="Q712" s="106"/>
      <c r="R712" s="106"/>
      <c r="S712" s="106"/>
    </row>
    <row r="713" spans="1:19" s="105" customFormat="1">
      <c r="A713" s="106"/>
      <c r="B713" s="194"/>
      <c r="C713" s="139"/>
      <c r="D713" s="140"/>
      <c r="E713" s="139"/>
      <c r="F713" s="139"/>
      <c r="G713" s="140"/>
      <c r="H713" s="139"/>
      <c r="I713" s="141"/>
      <c r="J713" s="142"/>
      <c r="K713" s="175" t="s">
        <v>661</v>
      </c>
      <c r="L713" s="105">
        <v>2647600</v>
      </c>
      <c r="N713" s="106"/>
      <c r="O713" s="106"/>
      <c r="P713" s="106"/>
      <c r="Q713" s="106"/>
      <c r="R713" s="106"/>
      <c r="S713" s="106"/>
    </row>
    <row r="714" spans="1:19" s="105" customFormat="1">
      <c r="A714" s="106"/>
      <c r="B714" s="194"/>
      <c r="C714" s="139"/>
      <c r="D714" s="140"/>
      <c r="E714" s="139"/>
      <c r="F714" s="139"/>
      <c r="G714" s="140"/>
      <c r="H714" s="139"/>
      <c r="I714" s="141"/>
      <c r="J714" s="142"/>
      <c r="K714" s="175"/>
      <c r="N714" s="106"/>
      <c r="O714" s="106"/>
      <c r="P714" s="106"/>
      <c r="Q714" s="106"/>
      <c r="R714" s="106"/>
      <c r="S714" s="106"/>
    </row>
    <row r="715" spans="1:19" s="105" customFormat="1">
      <c r="A715" s="106"/>
      <c r="B715" s="175" t="s">
        <v>43</v>
      </c>
      <c r="C715" s="139"/>
      <c r="D715" s="140"/>
      <c r="E715" s="139">
        <f>SUM(E717:E742)</f>
        <v>10.8063</v>
      </c>
      <c r="F715" s="139"/>
      <c r="G715" s="140"/>
      <c r="H715" s="139">
        <f>SUM(H717:H742)</f>
        <v>29.9574</v>
      </c>
      <c r="I715" s="141">
        <f t="shared" si="31"/>
        <v>19.1511</v>
      </c>
      <c r="J715" s="142">
        <f t="shared" si="32"/>
        <v>63.927777443970434</v>
      </c>
      <c r="K715" s="143"/>
      <c r="N715" s="106"/>
      <c r="O715" s="106"/>
      <c r="P715" s="106"/>
      <c r="Q715" s="106"/>
      <c r="R715" s="106"/>
      <c r="S715" s="106"/>
    </row>
    <row r="716" spans="1:19" s="105" customFormat="1">
      <c r="A716" s="106"/>
      <c r="B716" s="175" t="s">
        <v>19</v>
      </c>
      <c r="C716" s="139"/>
      <c r="D716" s="140"/>
      <c r="E716" s="139"/>
      <c r="F716" s="139"/>
      <c r="G716" s="140"/>
      <c r="H716" s="139"/>
      <c r="I716" s="139"/>
      <c r="J716" s="139"/>
      <c r="K716" s="143"/>
      <c r="N716" s="106"/>
      <c r="O716" s="106"/>
      <c r="P716" s="106"/>
      <c r="Q716" s="106"/>
      <c r="R716" s="106"/>
      <c r="S716" s="106"/>
    </row>
    <row r="717" spans="1:19" s="105" customFormat="1">
      <c r="A717" s="106"/>
      <c r="B717" s="194" t="s">
        <v>85</v>
      </c>
      <c r="C717" s="139"/>
      <c r="D717" s="140"/>
      <c r="E717" s="139">
        <v>0.5</v>
      </c>
      <c r="F717" s="139"/>
      <c r="G717" s="140"/>
      <c r="H717" s="139">
        <v>2.3149999999999999</v>
      </c>
      <c r="I717" s="141">
        <f t="shared" si="31"/>
        <v>1.8149999999999999</v>
      </c>
      <c r="J717" s="142">
        <f t="shared" si="32"/>
        <v>78.401727861771064</v>
      </c>
      <c r="K717" s="143" t="s">
        <v>626</v>
      </c>
      <c r="L717" s="105">
        <f>SUM(L718:L722)</f>
        <v>2315400</v>
      </c>
      <c r="N717" s="106"/>
      <c r="O717" s="106"/>
      <c r="P717" s="106"/>
      <c r="Q717" s="106"/>
      <c r="R717" s="106"/>
      <c r="S717" s="106"/>
    </row>
    <row r="718" spans="1:19" s="105" customFormat="1" ht="56.25">
      <c r="A718" s="106"/>
      <c r="B718" s="194"/>
      <c r="C718" s="139"/>
      <c r="D718" s="140"/>
      <c r="E718" s="139"/>
      <c r="F718" s="139"/>
      <c r="G718" s="140"/>
      <c r="H718" s="139"/>
      <c r="I718" s="141"/>
      <c r="J718" s="142"/>
      <c r="K718" s="175" t="s">
        <v>627</v>
      </c>
      <c r="L718" s="105">
        <v>1027200</v>
      </c>
      <c r="N718" s="106"/>
      <c r="O718" s="106"/>
      <c r="P718" s="106"/>
      <c r="Q718" s="106"/>
      <c r="R718" s="106"/>
      <c r="S718" s="106"/>
    </row>
    <row r="719" spans="1:19" s="105" customFormat="1" ht="37.5">
      <c r="A719" s="106"/>
      <c r="B719" s="194"/>
      <c r="C719" s="139"/>
      <c r="D719" s="140"/>
      <c r="E719" s="139"/>
      <c r="F719" s="139"/>
      <c r="G719" s="140"/>
      <c r="H719" s="139"/>
      <c r="I719" s="141"/>
      <c r="J719" s="142"/>
      <c r="K719" s="175" t="s">
        <v>628</v>
      </c>
      <c r="N719" s="106"/>
      <c r="O719" s="106"/>
      <c r="P719" s="106"/>
      <c r="Q719" s="106"/>
      <c r="R719" s="106"/>
      <c r="S719" s="106"/>
    </row>
    <row r="720" spans="1:19" s="105" customFormat="1">
      <c r="A720" s="106"/>
      <c r="B720" s="194"/>
      <c r="C720" s="139"/>
      <c r="D720" s="140"/>
      <c r="E720" s="139"/>
      <c r="F720" s="139"/>
      <c r="G720" s="140"/>
      <c r="H720" s="139"/>
      <c r="I720" s="141"/>
      <c r="J720" s="142"/>
      <c r="K720" s="143" t="s">
        <v>639</v>
      </c>
      <c r="L720" s="105">
        <v>518400</v>
      </c>
      <c r="N720" s="106"/>
      <c r="O720" s="106"/>
      <c r="P720" s="106"/>
      <c r="Q720" s="106"/>
      <c r="R720" s="106"/>
      <c r="S720" s="106"/>
    </row>
    <row r="721" spans="1:19" s="105" customFormat="1">
      <c r="A721" s="106"/>
      <c r="B721" s="194"/>
      <c r="C721" s="139"/>
      <c r="D721" s="140"/>
      <c r="E721" s="139"/>
      <c r="F721" s="139"/>
      <c r="G721" s="140"/>
      <c r="H721" s="139"/>
      <c r="I721" s="141"/>
      <c r="J721" s="142"/>
      <c r="K721" s="143" t="s">
        <v>653</v>
      </c>
      <c r="L721" s="105">
        <v>84400</v>
      </c>
      <c r="N721" s="106"/>
      <c r="O721" s="106"/>
      <c r="P721" s="106"/>
      <c r="Q721" s="106"/>
      <c r="R721" s="106"/>
      <c r="S721" s="106"/>
    </row>
    <row r="722" spans="1:19" s="105" customFormat="1">
      <c r="A722" s="106"/>
      <c r="B722" s="194"/>
      <c r="C722" s="139"/>
      <c r="D722" s="140"/>
      <c r="E722" s="139"/>
      <c r="F722" s="139"/>
      <c r="G722" s="140"/>
      <c r="H722" s="139"/>
      <c r="I722" s="141"/>
      <c r="J722" s="142"/>
      <c r="K722" s="175" t="s">
        <v>661</v>
      </c>
      <c r="L722" s="105">
        <v>685400</v>
      </c>
      <c r="N722" s="106"/>
      <c r="O722" s="106"/>
      <c r="P722" s="106"/>
      <c r="Q722" s="106"/>
      <c r="R722" s="106"/>
      <c r="S722" s="106"/>
    </row>
    <row r="723" spans="1:19" s="105" customFormat="1">
      <c r="A723" s="106"/>
      <c r="B723" s="194" t="s">
        <v>145</v>
      </c>
      <c r="C723" s="139"/>
      <c r="D723" s="140"/>
      <c r="E723" s="139">
        <v>0.25219999999999998</v>
      </c>
      <c r="F723" s="139"/>
      <c r="G723" s="140"/>
      <c r="H723" s="139">
        <v>0.75</v>
      </c>
      <c r="I723" s="141">
        <f t="shared" si="31"/>
        <v>0.49780000000000002</v>
      </c>
      <c r="J723" s="142">
        <f t="shared" si="32"/>
        <v>66.373333333333335</v>
      </c>
      <c r="K723" s="143" t="s">
        <v>647</v>
      </c>
      <c r="N723" s="106"/>
      <c r="O723" s="106"/>
      <c r="P723" s="106"/>
      <c r="Q723" s="106"/>
      <c r="R723" s="106"/>
      <c r="S723" s="106"/>
    </row>
    <row r="724" spans="1:19" s="105" customFormat="1">
      <c r="A724" s="106"/>
      <c r="B724" s="194"/>
      <c r="C724" s="139"/>
      <c r="D724" s="140"/>
      <c r="E724" s="139"/>
      <c r="F724" s="139"/>
      <c r="G724" s="140"/>
      <c r="H724" s="139"/>
      <c r="I724" s="141"/>
      <c r="J724" s="142"/>
      <c r="K724" s="143" t="s">
        <v>648</v>
      </c>
      <c r="L724" s="105">
        <v>750000</v>
      </c>
      <c r="N724" s="106"/>
      <c r="O724" s="106"/>
      <c r="P724" s="106"/>
      <c r="Q724" s="106"/>
      <c r="R724" s="106"/>
      <c r="S724" s="106"/>
    </row>
    <row r="725" spans="1:19" s="105" customFormat="1">
      <c r="A725" s="106"/>
      <c r="B725" s="194"/>
      <c r="C725" s="139"/>
      <c r="D725" s="140"/>
      <c r="E725" s="139"/>
      <c r="F725" s="139"/>
      <c r="G725" s="140"/>
      <c r="H725" s="139"/>
      <c r="I725" s="141"/>
      <c r="J725" s="142"/>
      <c r="K725" s="143"/>
      <c r="N725" s="106"/>
      <c r="O725" s="106"/>
      <c r="P725" s="106"/>
      <c r="Q725" s="106"/>
      <c r="R725" s="106"/>
      <c r="S725" s="106"/>
    </row>
    <row r="726" spans="1:19" s="105" customFormat="1">
      <c r="A726" s="106"/>
      <c r="B726" s="194"/>
      <c r="C726" s="139"/>
      <c r="D726" s="140"/>
      <c r="E726" s="139"/>
      <c r="F726" s="139"/>
      <c r="G726" s="140"/>
      <c r="H726" s="139"/>
      <c r="I726" s="141"/>
      <c r="J726" s="142"/>
      <c r="K726" s="143"/>
      <c r="N726" s="106"/>
      <c r="O726" s="106"/>
      <c r="P726" s="106"/>
      <c r="Q726" s="106"/>
      <c r="R726" s="106"/>
      <c r="S726" s="106"/>
    </row>
    <row r="727" spans="1:19" s="105" customFormat="1">
      <c r="A727" s="106"/>
      <c r="B727" s="194" t="s">
        <v>146</v>
      </c>
      <c r="C727" s="139"/>
      <c r="D727" s="140"/>
      <c r="E727" s="139">
        <v>0.5</v>
      </c>
      <c r="F727" s="139"/>
      <c r="G727" s="140"/>
      <c r="H727" s="139"/>
      <c r="I727" s="141">
        <f t="shared" si="31"/>
        <v>-0.5</v>
      </c>
      <c r="J727" s="142">
        <v>0</v>
      </c>
      <c r="K727" s="143"/>
      <c r="N727" s="106"/>
      <c r="O727" s="106"/>
      <c r="P727" s="106"/>
      <c r="Q727" s="106"/>
      <c r="R727" s="106"/>
      <c r="S727" s="106"/>
    </row>
    <row r="728" spans="1:19" s="105" customFormat="1">
      <c r="A728" s="106"/>
      <c r="B728" s="194" t="s">
        <v>84</v>
      </c>
      <c r="C728" s="139"/>
      <c r="D728" s="140"/>
      <c r="E728" s="139">
        <v>2.5</v>
      </c>
      <c r="F728" s="139"/>
      <c r="G728" s="140"/>
      <c r="H728" s="139">
        <v>5.0385</v>
      </c>
      <c r="I728" s="141">
        <f t="shared" si="31"/>
        <v>2.5385</v>
      </c>
      <c r="J728" s="142">
        <f t="shared" si="32"/>
        <v>50.382058152227842</v>
      </c>
      <c r="K728" s="143" t="s">
        <v>669</v>
      </c>
      <c r="L728" s="332">
        <f>SUM(L729:L730)</f>
        <v>5038500</v>
      </c>
      <c r="N728" s="106"/>
      <c r="O728" s="106"/>
      <c r="P728" s="106"/>
      <c r="Q728" s="106"/>
      <c r="R728" s="106"/>
      <c r="S728" s="106"/>
    </row>
    <row r="729" spans="1:19" s="105" customFormat="1" ht="56.25">
      <c r="A729" s="106"/>
      <c r="B729" s="194"/>
      <c r="C729" s="139"/>
      <c r="D729" s="140"/>
      <c r="E729" s="139"/>
      <c r="F729" s="139"/>
      <c r="G729" s="140"/>
      <c r="H729" s="139"/>
      <c r="I729" s="141">
        <f t="shared" si="31"/>
        <v>0</v>
      </c>
      <c r="J729" s="142"/>
      <c r="K729" s="175" t="s">
        <v>629</v>
      </c>
      <c r="L729" s="105">
        <v>5000000</v>
      </c>
      <c r="N729" s="106"/>
      <c r="O729" s="106"/>
      <c r="P729" s="106"/>
      <c r="Q729" s="106"/>
      <c r="R729" s="106"/>
      <c r="S729" s="106"/>
    </row>
    <row r="730" spans="1:19" s="105" customFormat="1" ht="37.5">
      <c r="A730" s="106"/>
      <c r="B730" s="194"/>
      <c r="C730" s="139"/>
      <c r="D730" s="140"/>
      <c r="E730" s="139"/>
      <c r="F730" s="139"/>
      <c r="G730" s="140"/>
      <c r="H730" s="139"/>
      <c r="I730" s="141">
        <f t="shared" si="31"/>
        <v>0</v>
      </c>
      <c r="J730" s="142"/>
      <c r="K730" s="175" t="s">
        <v>654</v>
      </c>
      <c r="L730" s="105">
        <v>38500</v>
      </c>
      <c r="N730" s="106"/>
      <c r="O730" s="106"/>
      <c r="P730" s="106"/>
      <c r="Q730" s="106"/>
      <c r="R730" s="106"/>
      <c r="S730" s="106"/>
    </row>
    <row r="731" spans="1:19" s="105" customFormat="1">
      <c r="A731" s="106"/>
      <c r="B731" s="194"/>
      <c r="C731" s="139"/>
      <c r="D731" s="140"/>
      <c r="E731" s="139"/>
      <c r="F731" s="139"/>
      <c r="G731" s="140"/>
      <c r="H731" s="139"/>
      <c r="I731" s="141">
        <f t="shared" si="31"/>
        <v>0</v>
      </c>
      <c r="J731" s="142"/>
      <c r="K731" s="143"/>
      <c r="N731" s="106"/>
      <c r="O731" s="106"/>
      <c r="P731" s="106"/>
      <c r="Q731" s="106"/>
      <c r="R731" s="106"/>
      <c r="S731" s="106"/>
    </row>
    <row r="732" spans="1:19" s="105" customFormat="1">
      <c r="A732" s="106"/>
      <c r="B732" s="194" t="s">
        <v>132</v>
      </c>
      <c r="C732" s="139"/>
      <c r="D732" s="140"/>
      <c r="E732" s="139">
        <v>7.0541</v>
      </c>
      <c r="F732" s="139"/>
      <c r="G732" s="140"/>
      <c r="H732" s="139">
        <v>14.075200000000001</v>
      </c>
      <c r="I732" s="141">
        <f t="shared" si="31"/>
        <v>7.0211000000000006</v>
      </c>
      <c r="J732" s="142">
        <f t="shared" si="32"/>
        <v>49.882772536091849</v>
      </c>
      <c r="K732" s="143" t="s">
        <v>640</v>
      </c>
      <c r="L732" s="105">
        <f>SUM(L733:L736)</f>
        <v>14075200</v>
      </c>
      <c r="N732" s="106"/>
      <c r="O732" s="106"/>
      <c r="P732" s="106"/>
      <c r="Q732" s="106"/>
      <c r="R732" s="106"/>
      <c r="S732" s="106"/>
    </row>
    <row r="733" spans="1:19" s="105" customFormat="1" ht="56.25">
      <c r="A733" s="106"/>
      <c r="B733" s="194"/>
      <c r="C733" s="139"/>
      <c r="D733" s="140"/>
      <c r="E733" s="139"/>
      <c r="F733" s="139"/>
      <c r="G733" s="140"/>
      <c r="H733" s="139"/>
      <c r="I733" s="141"/>
      <c r="J733" s="142"/>
      <c r="K733" s="175" t="s">
        <v>641</v>
      </c>
      <c r="L733" s="105">
        <v>999000</v>
      </c>
      <c r="N733" s="106"/>
      <c r="O733" s="106"/>
      <c r="P733" s="106"/>
      <c r="Q733" s="106"/>
      <c r="R733" s="106"/>
      <c r="S733" s="106"/>
    </row>
    <row r="734" spans="1:19" s="105" customFormat="1" ht="37.5">
      <c r="A734" s="106"/>
      <c r="B734" s="194"/>
      <c r="C734" s="139"/>
      <c r="D734" s="140"/>
      <c r="E734" s="139"/>
      <c r="F734" s="139"/>
      <c r="G734" s="140"/>
      <c r="H734" s="139"/>
      <c r="I734" s="141"/>
      <c r="J734" s="142"/>
      <c r="K734" s="175" t="s">
        <v>649</v>
      </c>
      <c r="L734" s="105">
        <v>5505000</v>
      </c>
      <c r="N734" s="106"/>
      <c r="O734" s="106"/>
      <c r="P734" s="106"/>
      <c r="Q734" s="106"/>
      <c r="R734" s="106"/>
      <c r="S734" s="106"/>
    </row>
    <row r="735" spans="1:19" s="105" customFormat="1">
      <c r="A735" s="106"/>
      <c r="B735" s="194"/>
      <c r="C735" s="139"/>
      <c r="D735" s="140"/>
      <c r="E735" s="139"/>
      <c r="F735" s="139"/>
      <c r="G735" s="140"/>
      <c r="H735" s="139"/>
      <c r="I735" s="141"/>
      <c r="J735" s="142"/>
      <c r="K735" s="175" t="s">
        <v>659</v>
      </c>
      <c r="L735" s="105">
        <v>5571200</v>
      </c>
      <c r="N735" s="106"/>
      <c r="O735" s="106"/>
      <c r="P735" s="106"/>
      <c r="Q735" s="106"/>
      <c r="R735" s="106"/>
      <c r="S735" s="106"/>
    </row>
    <row r="736" spans="1:19" s="105" customFormat="1">
      <c r="A736" s="106"/>
      <c r="B736" s="194"/>
      <c r="C736" s="139"/>
      <c r="D736" s="140"/>
      <c r="E736" s="139"/>
      <c r="F736" s="139"/>
      <c r="G736" s="140"/>
      <c r="H736" s="139"/>
      <c r="I736" s="141"/>
      <c r="J736" s="142"/>
      <c r="K736" s="175" t="s">
        <v>670</v>
      </c>
      <c r="L736" s="105">
        <v>2000000</v>
      </c>
      <c r="N736" s="106"/>
      <c r="O736" s="106"/>
      <c r="P736" s="106"/>
      <c r="Q736" s="106"/>
      <c r="R736" s="106"/>
      <c r="S736" s="106"/>
    </row>
    <row r="737" spans="1:19" s="105" customFormat="1">
      <c r="A737" s="106"/>
      <c r="B737" s="194"/>
      <c r="C737" s="139"/>
      <c r="D737" s="140"/>
      <c r="E737" s="139"/>
      <c r="F737" s="139"/>
      <c r="G737" s="140"/>
      <c r="H737" s="139"/>
      <c r="I737" s="141"/>
      <c r="J737" s="142"/>
      <c r="K737" s="175"/>
      <c r="N737" s="106"/>
      <c r="O737" s="106"/>
      <c r="P737" s="106"/>
      <c r="Q737" s="106"/>
      <c r="R737" s="106"/>
      <c r="S737" s="106"/>
    </row>
    <row r="738" spans="1:19" s="105" customFormat="1">
      <c r="A738" s="106"/>
      <c r="B738" s="194" t="s">
        <v>662</v>
      </c>
      <c r="C738" s="139"/>
      <c r="D738" s="140"/>
      <c r="E738" s="139"/>
      <c r="F738" s="139"/>
      <c r="G738" s="140"/>
      <c r="H738" s="139">
        <v>3.1076000000000001</v>
      </c>
      <c r="I738" s="141">
        <f t="shared" si="31"/>
        <v>3.1076000000000001</v>
      </c>
      <c r="J738" s="142">
        <f t="shared" si="32"/>
        <v>99.999999999999986</v>
      </c>
      <c r="K738" s="143" t="s">
        <v>663</v>
      </c>
      <c r="L738" s="105">
        <v>3107600</v>
      </c>
      <c r="N738" s="106"/>
      <c r="O738" s="106"/>
      <c r="P738" s="106"/>
      <c r="Q738" s="106"/>
      <c r="R738" s="106"/>
      <c r="S738" s="106"/>
    </row>
    <row r="739" spans="1:19" s="105" customFormat="1">
      <c r="A739" s="106"/>
      <c r="B739" s="194"/>
      <c r="C739" s="139"/>
      <c r="D739" s="140"/>
      <c r="E739" s="139"/>
      <c r="F739" s="139"/>
      <c r="G739" s="140"/>
      <c r="H739" s="139"/>
      <c r="I739" s="141"/>
      <c r="J739" s="142"/>
      <c r="K739" s="143"/>
      <c r="N739" s="106"/>
      <c r="O739" s="106"/>
      <c r="P739" s="106"/>
      <c r="Q739" s="106"/>
      <c r="R739" s="106"/>
      <c r="S739" s="106"/>
    </row>
    <row r="740" spans="1:19" s="105" customFormat="1">
      <c r="A740" s="106"/>
      <c r="B740" s="194" t="s">
        <v>664</v>
      </c>
      <c r="C740" s="139"/>
      <c r="D740" s="140"/>
      <c r="E740" s="139"/>
      <c r="F740" s="139"/>
      <c r="G740" s="140"/>
      <c r="H740" s="139">
        <v>2.7991000000000001</v>
      </c>
      <c r="I740" s="141">
        <f t="shared" si="31"/>
        <v>2.7991000000000001</v>
      </c>
      <c r="J740" s="142">
        <f t="shared" si="32"/>
        <v>100</v>
      </c>
      <c r="K740" s="143" t="s">
        <v>663</v>
      </c>
      <c r="L740" s="105">
        <v>2799100</v>
      </c>
      <c r="N740" s="106"/>
      <c r="O740" s="106"/>
      <c r="P740" s="106"/>
      <c r="Q740" s="106"/>
      <c r="R740" s="106"/>
      <c r="S740" s="106"/>
    </row>
    <row r="741" spans="1:19" s="105" customFormat="1">
      <c r="A741" s="106"/>
      <c r="B741" s="194"/>
      <c r="C741" s="139"/>
      <c r="D741" s="140"/>
      <c r="E741" s="139"/>
      <c r="F741" s="139"/>
      <c r="G741" s="140"/>
      <c r="H741" s="139"/>
      <c r="I741" s="141"/>
      <c r="J741" s="142"/>
      <c r="K741" s="143"/>
      <c r="N741" s="106"/>
      <c r="O741" s="106"/>
      <c r="P741" s="106"/>
      <c r="Q741" s="106"/>
      <c r="R741" s="106"/>
      <c r="S741" s="106"/>
    </row>
    <row r="742" spans="1:19" s="105" customFormat="1" ht="75">
      <c r="A742" s="106"/>
      <c r="B742" s="175" t="s">
        <v>69</v>
      </c>
      <c r="C742" s="139"/>
      <c r="D742" s="140"/>
      <c r="E742" s="139"/>
      <c r="F742" s="139"/>
      <c r="G742" s="140"/>
      <c r="H742" s="139">
        <v>1.8720000000000001</v>
      </c>
      <c r="I742" s="141">
        <f t="shared" si="31"/>
        <v>1.8720000000000001</v>
      </c>
      <c r="J742" s="142">
        <f t="shared" si="32"/>
        <v>100</v>
      </c>
      <c r="K742" s="175" t="s">
        <v>660</v>
      </c>
      <c r="L742" s="106"/>
      <c r="N742" s="106"/>
      <c r="O742" s="106"/>
      <c r="P742" s="106"/>
      <c r="Q742" s="106"/>
      <c r="R742" s="106"/>
      <c r="S742" s="106"/>
    </row>
    <row r="743" spans="1:19" s="105" customFormat="1">
      <c r="A743" s="106"/>
      <c r="B743" s="194" t="s">
        <v>2</v>
      </c>
      <c r="C743" s="139"/>
      <c r="D743" s="140"/>
      <c r="E743" s="139"/>
      <c r="F743" s="139"/>
      <c r="G743" s="140"/>
      <c r="H743" s="139"/>
      <c r="I743" s="141"/>
      <c r="J743" s="142"/>
      <c r="K743" s="143"/>
      <c r="L743" s="105">
        <f>SUM(L745:L749)</f>
        <v>1872000</v>
      </c>
      <c r="N743" s="106"/>
      <c r="O743" s="106"/>
      <c r="P743" s="106"/>
      <c r="Q743" s="106"/>
      <c r="R743" s="106"/>
      <c r="S743" s="106"/>
    </row>
    <row r="744" spans="1:19" s="105" customFormat="1">
      <c r="A744" s="106"/>
      <c r="B744" s="194" t="s">
        <v>3</v>
      </c>
      <c r="C744" s="139"/>
      <c r="D744" s="140"/>
      <c r="E744" s="139"/>
      <c r="F744" s="139"/>
      <c r="G744" s="140"/>
      <c r="H744" s="139"/>
      <c r="I744" s="141"/>
      <c r="J744" s="142"/>
      <c r="K744" s="143"/>
      <c r="N744" s="106"/>
      <c r="O744" s="106"/>
      <c r="P744" s="106"/>
      <c r="Q744" s="106"/>
      <c r="R744" s="106"/>
      <c r="S744" s="106"/>
    </row>
    <row r="745" spans="1:19" s="105" customFormat="1">
      <c r="A745" s="106"/>
      <c r="B745" s="194" t="s">
        <v>665</v>
      </c>
      <c r="C745" s="139"/>
      <c r="D745" s="140"/>
      <c r="E745" s="139"/>
      <c r="F745" s="139"/>
      <c r="G745" s="140"/>
      <c r="H745" s="139"/>
      <c r="I745" s="141"/>
      <c r="J745" s="142"/>
      <c r="K745" s="143" t="s">
        <v>655</v>
      </c>
      <c r="L745" s="105">
        <v>360000</v>
      </c>
      <c r="N745" s="106"/>
      <c r="O745" s="106"/>
      <c r="P745" s="106"/>
      <c r="Q745" s="106"/>
      <c r="R745" s="106"/>
      <c r="S745" s="106"/>
    </row>
    <row r="746" spans="1:19" s="105" customFormat="1">
      <c r="A746" s="106"/>
      <c r="B746" s="194"/>
      <c r="C746" s="139"/>
      <c r="D746" s="140"/>
      <c r="E746" s="139"/>
      <c r="F746" s="139"/>
      <c r="G746" s="140"/>
      <c r="H746" s="139"/>
      <c r="I746" s="141"/>
      <c r="J746" s="142"/>
      <c r="K746" s="143" t="s">
        <v>656</v>
      </c>
      <c r="L746" s="105">
        <v>360000</v>
      </c>
      <c r="N746" s="106"/>
      <c r="O746" s="106"/>
      <c r="P746" s="106"/>
      <c r="Q746" s="106"/>
      <c r="R746" s="106"/>
      <c r="S746" s="106"/>
    </row>
    <row r="747" spans="1:19" s="105" customFormat="1">
      <c r="A747" s="106"/>
      <c r="B747" s="194"/>
      <c r="C747" s="139"/>
      <c r="D747" s="140"/>
      <c r="E747" s="139"/>
      <c r="F747" s="139"/>
      <c r="G747" s="140"/>
      <c r="H747" s="139"/>
      <c r="I747" s="141"/>
      <c r="J747" s="142"/>
      <c r="K747" s="143" t="s">
        <v>658</v>
      </c>
      <c r="L747" s="105">
        <v>432000</v>
      </c>
      <c r="N747" s="106"/>
      <c r="O747" s="106"/>
      <c r="P747" s="106"/>
      <c r="Q747" s="106"/>
      <c r="R747" s="106"/>
      <c r="S747" s="106"/>
    </row>
    <row r="748" spans="1:19" s="105" customFormat="1">
      <c r="A748" s="106"/>
      <c r="B748" s="194"/>
      <c r="C748" s="139"/>
      <c r="D748" s="140"/>
      <c r="E748" s="139"/>
      <c r="F748" s="139"/>
      <c r="G748" s="140"/>
      <c r="H748" s="139"/>
      <c r="I748" s="141"/>
      <c r="J748" s="142"/>
      <c r="K748" s="143" t="s">
        <v>657</v>
      </c>
      <c r="L748" s="105">
        <v>360000</v>
      </c>
      <c r="N748" s="106"/>
      <c r="O748" s="106"/>
      <c r="P748" s="106"/>
      <c r="Q748" s="106"/>
      <c r="R748" s="106"/>
      <c r="S748" s="106"/>
    </row>
    <row r="749" spans="1:19" s="105" customFormat="1" ht="37.5">
      <c r="A749" s="106"/>
      <c r="B749" s="143" t="s">
        <v>666</v>
      </c>
      <c r="C749" s="139"/>
      <c r="D749" s="140"/>
      <c r="E749" s="139"/>
      <c r="F749" s="139"/>
      <c r="G749" s="140"/>
      <c r="H749" s="139"/>
      <c r="I749" s="141"/>
      <c r="J749" s="142"/>
      <c r="K749" s="175" t="s">
        <v>667</v>
      </c>
      <c r="L749" s="105">
        <v>360000</v>
      </c>
      <c r="N749" s="106"/>
      <c r="O749" s="106"/>
      <c r="P749" s="106"/>
      <c r="Q749" s="106"/>
      <c r="R749" s="106"/>
      <c r="S749" s="106"/>
    </row>
    <row r="750" spans="1:19" s="105" customFormat="1">
      <c r="A750" s="106"/>
      <c r="B750" s="194"/>
      <c r="C750" s="139"/>
      <c r="D750" s="140"/>
      <c r="E750" s="139"/>
      <c r="F750" s="139"/>
      <c r="G750" s="140"/>
      <c r="H750" s="139"/>
      <c r="I750" s="141"/>
      <c r="J750" s="142"/>
      <c r="K750" s="143"/>
      <c r="N750" s="106"/>
      <c r="O750" s="106"/>
      <c r="P750" s="106"/>
      <c r="Q750" s="106"/>
      <c r="R750" s="106"/>
      <c r="S750" s="106"/>
    </row>
    <row r="751" spans="1:19" s="105" customFormat="1">
      <c r="A751" s="106"/>
      <c r="B751" s="175" t="s">
        <v>22</v>
      </c>
      <c r="C751" s="139"/>
      <c r="D751" s="140"/>
      <c r="E751" s="139"/>
      <c r="F751" s="139"/>
      <c r="G751" s="140"/>
      <c r="H751" s="139"/>
      <c r="I751" s="141"/>
      <c r="J751" s="142"/>
      <c r="K751" s="143"/>
      <c r="N751" s="106"/>
      <c r="O751" s="106"/>
      <c r="P751" s="106"/>
      <c r="Q751" s="106"/>
      <c r="R751" s="106"/>
      <c r="S751" s="106"/>
    </row>
    <row r="752" spans="1:19" s="105" customFormat="1">
      <c r="A752" s="106"/>
      <c r="B752" s="194" t="s">
        <v>21</v>
      </c>
      <c r="C752" s="139"/>
      <c r="D752" s="140"/>
      <c r="E752" s="139"/>
      <c r="F752" s="139"/>
      <c r="G752" s="140"/>
      <c r="H752" s="139"/>
      <c r="I752" s="141"/>
      <c r="J752" s="142"/>
      <c r="K752" s="143"/>
      <c r="N752" s="106"/>
      <c r="O752" s="106"/>
      <c r="P752" s="106"/>
      <c r="Q752" s="106"/>
      <c r="R752" s="106"/>
      <c r="S752" s="106"/>
    </row>
    <row r="753" spans="1:19" s="105" customFormat="1">
      <c r="A753" s="106"/>
      <c r="B753" s="175" t="s">
        <v>20</v>
      </c>
      <c r="C753" s="139"/>
      <c r="D753" s="140"/>
      <c r="E753" s="139"/>
      <c r="F753" s="139"/>
      <c r="G753" s="140"/>
      <c r="H753" s="139"/>
      <c r="I753" s="141"/>
      <c r="J753" s="142"/>
      <c r="K753" s="175"/>
      <c r="N753" s="106"/>
      <c r="O753" s="106"/>
      <c r="P753" s="106"/>
      <c r="Q753" s="106"/>
      <c r="R753" s="106"/>
      <c r="S753" s="106"/>
    </row>
    <row r="754" spans="1:19" s="105" customFormat="1">
      <c r="A754" s="106"/>
      <c r="B754" s="194" t="s">
        <v>17</v>
      </c>
      <c r="C754" s="139"/>
      <c r="D754" s="140"/>
      <c r="E754" s="139"/>
      <c r="F754" s="139"/>
      <c r="G754" s="140"/>
      <c r="H754" s="139"/>
      <c r="I754" s="141"/>
      <c r="J754" s="142"/>
      <c r="K754" s="143"/>
      <c r="N754" s="106"/>
      <c r="O754" s="106"/>
      <c r="P754" s="106"/>
      <c r="Q754" s="106"/>
      <c r="R754" s="106"/>
      <c r="S754" s="106"/>
    </row>
    <row r="755" spans="1:19" s="105" customFormat="1">
      <c r="A755" s="106"/>
      <c r="B755" s="175" t="s">
        <v>44</v>
      </c>
      <c r="C755" s="139"/>
      <c r="D755" s="140"/>
      <c r="E755" s="139">
        <f>SUM(E756:E788)</f>
        <v>21.518000000000001</v>
      </c>
      <c r="F755" s="139"/>
      <c r="G755" s="140"/>
      <c r="H755" s="139">
        <f>SUM(H756:H788)</f>
        <v>36.139800000000001</v>
      </c>
      <c r="I755" s="141">
        <f t="shared" si="31"/>
        <v>14.6218</v>
      </c>
      <c r="J755" s="142">
        <f t="shared" si="32"/>
        <v>40.458995345851392</v>
      </c>
      <c r="K755" s="143"/>
      <c r="N755" s="106"/>
      <c r="O755" s="106"/>
      <c r="P755" s="106"/>
      <c r="Q755" s="106"/>
      <c r="R755" s="106"/>
      <c r="S755" s="106"/>
    </row>
    <row r="756" spans="1:19" s="105" customFormat="1">
      <c r="A756" s="106"/>
      <c r="B756" s="194" t="s">
        <v>90</v>
      </c>
      <c r="C756" s="139"/>
      <c r="D756" s="140"/>
      <c r="E756" s="139">
        <v>0.80300000000000005</v>
      </c>
      <c r="F756" s="139"/>
      <c r="G756" s="140"/>
      <c r="H756" s="139">
        <v>4.5170000000000003</v>
      </c>
      <c r="I756" s="141">
        <f t="shared" si="31"/>
        <v>3.7140000000000004</v>
      </c>
      <c r="J756" s="142">
        <f t="shared" si="32"/>
        <v>82.222714190834623</v>
      </c>
      <c r="K756" s="143" t="s">
        <v>630</v>
      </c>
      <c r="L756" s="105">
        <f>SUM(L757:L760)</f>
        <v>4517000</v>
      </c>
      <c r="N756" s="106"/>
      <c r="O756" s="106"/>
      <c r="P756" s="106"/>
      <c r="Q756" s="106"/>
      <c r="R756" s="106"/>
      <c r="S756" s="106"/>
    </row>
    <row r="757" spans="1:19" s="105" customFormat="1">
      <c r="A757" s="106"/>
      <c r="B757" s="194"/>
      <c r="C757" s="139"/>
      <c r="D757" s="140"/>
      <c r="E757" s="139"/>
      <c r="F757" s="139"/>
      <c r="G757" s="140"/>
      <c r="H757" s="139"/>
      <c r="I757" s="141"/>
      <c r="J757" s="142"/>
      <c r="K757" s="143" t="s">
        <v>631</v>
      </c>
      <c r="L757" s="105">
        <v>1000000</v>
      </c>
      <c r="N757" s="106"/>
      <c r="O757" s="106"/>
      <c r="P757" s="106"/>
      <c r="Q757" s="106"/>
      <c r="R757" s="106"/>
      <c r="S757" s="106"/>
    </row>
    <row r="758" spans="1:19" s="105" customFormat="1">
      <c r="A758" s="106"/>
      <c r="B758" s="194"/>
      <c r="C758" s="139"/>
      <c r="D758" s="140"/>
      <c r="E758" s="139"/>
      <c r="F758" s="139"/>
      <c r="G758" s="140"/>
      <c r="H758" s="139"/>
      <c r="I758" s="141"/>
      <c r="J758" s="142"/>
      <c r="K758" s="143" t="s">
        <v>642</v>
      </c>
      <c r="L758" s="105">
        <v>450000</v>
      </c>
      <c r="N758" s="106"/>
      <c r="O758" s="106"/>
      <c r="P758" s="106"/>
      <c r="Q758" s="106"/>
      <c r="R758" s="106"/>
      <c r="S758" s="106"/>
    </row>
    <row r="759" spans="1:19" s="105" customFormat="1">
      <c r="A759" s="106"/>
      <c r="B759" s="194"/>
      <c r="C759" s="139"/>
      <c r="D759" s="140"/>
      <c r="E759" s="139"/>
      <c r="F759" s="139"/>
      <c r="G759" s="140"/>
      <c r="H759" s="139"/>
      <c r="I759" s="141"/>
      <c r="J759" s="142"/>
      <c r="K759" s="175" t="s">
        <v>659</v>
      </c>
      <c r="L759" s="105">
        <v>100000</v>
      </c>
      <c r="N759" s="106"/>
      <c r="O759" s="106"/>
      <c r="P759" s="106"/>
      <c r="Q759" s="106"/>
      <c r="R759" s="106"/>
      <c r="S759" s="106"/>
    </row>
    <row r="760" spans="1:19" s="105" customFormat="1">
      <c r="A760" s="106"/>
      <c r="B760" s="194"/>
      <c r="C760" s="139"/>
      <c r="D760" s="140"/>
      <c r="E760" s="139"/>
      <c r="F760" s="139"/>
      <c r="G760" s="140"/>
      <c r="H760" s="139"/>
      <c r="I760" s="141"/>
      <c r="J760" s="142"/>
      <c r="K760" s="143" t="s">
        <v>668</v>
      </c>
      <c r="L760" s="105">
        <v>2967000</v>
      </c>
      <c r="N760" s="106"/>
      <c r="O760" s="106"/>
      <c r="P760" s="106"/>
      <c r="Q760" s="106"/>
      <c r="R760" s="106"/>
      <c r="S760" s="106"/>
    </row>
    <row r="761" spans="1:19" s="105" customFormat="1" ht="37.5">
      <c r="A761" s="106"/>
      <c r="B761" s="194" t="s">
        <v>91</v>
      </c>
      <c r="C761" s="139"/>
      <c r="D761" s="140"/>
      <c r="E761" s="139">
        <v>0.95269999999999999</v>
      </c>
      <c r="F761" s="139"/>
      <c r="G761" s="140"/>
      <c r="H761" s="139">
        <v>5.15</v>
      </c>
      <c r="I761" s="141">
        <f t="shared" si="31"/>
        <v>4.1973000000000003</v>
      </c>
      <c r="J761" s="142">
        <f t="shared" si="32"/>
        <v>81.5009708737864</v>
      </c>
      <c r="K761" s="333" t="s">
        <v>632</v>
      </c>
      <c r="L761" s="105">
        <f>SUM(L762:L763)</f>
        <v>5150000</v>
      </c>
      <c r="N761" s="106"/>
      <c r="O761" s="106"/>
      <c r="P761" s="106"/>
      <c r="Q761" s="106"/>
      <c r="R761" s="106"/>
      <c r="S761" s="106"/>
    </row>
    <row r="762" spans="1:19" s="105" customFormat="1">
      <c r="A762" s="106"/>
      <c r="B762" s="194"/>
      <c r="C762" s="139"/>
      <c r="D762" s="140"/>
      <c r="E762" s="139"/>
      <c r="F762" s="139"/>
      <c r="G762" s="140"/>
      <c r="H762" s="139"/>
      <c r="I762" s="141"/>
      <c r="J762" s="142"/>
      <c r="K762" s="333" t="s">
        <v>631</v>
      </c>
      <c r="L762" s="105">
        <v>4400000</v>
      </c>
      <c r="N762" s="106"/>
      <c r="O762" s="106"/>
      <c r="P762" s="106"/>
      <c r="Q762" s="106"/>
      <c r="R762" s="106"/>
      <c r="S762" s="106"/>
    </row>
    <row r="763" spans="1:19" s="105" customFormat="1">
      <c r="A763" s="106"/>
      <c r="B763" s="194"/>
      <c r="C763" s="139"/>
      <c r="D763" s="140"/>
      <c r="E763" s="139"/>
      <c r="F763" s="139"/>
      <c r="G763" s="140"/>
      <c r="H763" s="139"/>
      <c r="I763" s="141"/>
      <c r="J763" s="142"/>
      <c r="K763" s="333" t="s">
        <v>650</v>
      </c>
      <c r="L763" s="105">
        <v>750000</v>
      </c>
      <c r="N763" s="106"/>
      <c r="O763" s="106"/>
      <c r="P763" s="106"/>
      <c r="Q763" s="106"/>
      <c r="R763" s="106"/>
      <c r="S763" s="106"/>
    </row>
    <row r="764" spans="1:19" s="105" customFormat="1">
      <c r="A764" s="106"/>
      <c r="B764" s="194"/>
      <c r="C764" s="139"/>
      <c r="D764" s="140"/>
      <c r="E764" s="139"/>
      <c r="F764" s="139"/>
      <c r="G764" s="140"/>
      <c r="H764" s="139"/>
      <c r="I764" s="141"/>
      <c r="J764" s="142"/>
      <c r="K764" s="333"/>
      <c r="N764" s="106"/>
      <c r="O764" s="106"/>
      <c r="P764" s="106"/>
      <c r="Q764" s="106"/>
      <c r="R764" s="106"/>
      <c r="S764" s="106"/>
    </row>
    <row r="765" spans="1:19" s="105" customFormat="1">
      <c r="A765" s="106"/>
      <c r="B765" s="194"/>
      <c r="C765" s="139"/>
      <c r="D765" s="140"/>
      <c r="E765" s="139"/>
      <c r="F765" s="139"/>
      <c r="G765" s="140"/>
      <c r="H765" s="139"/>
      <c r="I765" s="141"/>
      <c r="J765" s="142"/>
      <c r="K765" s="333"/>
      <c r="N765" s="106"/>
      <c r="O765" s="106"/>
      <c r="P765" s="106"/>
      <c r="Q765" s="106"/>
      <c r="R765" s="106"/>
      <c r="S765" s="106"/>
    </row>
    <row r="766" spans="1:19" s="105" customFormat="1">
      <c r="A766" s="106"/>
      <c r="B766" s="194"/>
      <c r="C766" s="139"/>
      <c r="D766" s="140"/>
      <c r="E766" s="139"/>
      <c r="F766" s="139"/>
      <c r="G766" s="140"/>
      <c r="H766" s="139"/>
      <c r="I766" s="141"/>
      <c r="J766" s="142"/>
      <c r="K766" s="333"/>
      <c r="N766" s="106"/>
      <c r="O766" s="106"/>
      <c r="P766" s="106"/>
      <c r="Q766" s="106"/>
      <c r="R766" s="106"/>
      <c r="S766" s="106"/>
    </row>
    <row r="767" spans="1:19" s="105" customFormat="1" ht="56.25">
      <c r="A767" s="106"/>
      <c r="B767" s="194" t="s">
        <v>135</v>
      </c>
      <c r="C767" s="139"/>
      <c r="D767" s="140"/>
      <c r="E767" s="139">
        <v>5</v>
      </c>
      <c r="F767" s="139"/>
      <c r="G767" s="140"/>
      <c r="H767" s="139">
        <v>5.8</v>
      </c>
      <c r="I767" s="141">
        <f t="shared" si="31"/>
        <v>0.79999999999999982</v>
      </c>
      <c r="J767" s="142">
        <f t="shared" si="32"/>
        <v>13.793103448275859</v>
      </c>
      <c r="K767" s="175" t="s">
        <v>633</v>
      </c>
      <c r="N767" s="106"/>
      <c r="O767" s="106"/>
      <c r="P767" s="106"/>
      <c r="Q767" s="106"/>
      <c r="R767" s="106"/>
      <c r="S767" s="106"/>
    </row>
    <row r="768" spans="1:19" s="105" customFormat="1" ht="37.5">
      <c r="A768" s="106"/>
      <c r="B768" s="194"/>
      <c r="C768" s="139"/>
      <c r="D768" s="140"/>
      <c r="E768" s="139"/>
      <c r="F768" s="139"/>
      <c r="G768" s="140"/>
      <c r="H768" s="139"/>
      <c r="I768" s="141"/>
      <c r="J768" s="142"/>
      <c r="K768" s="333" t="s">
        <v>634</v>
      </c>
      <c r="L768" s="105">
        <v>5800000</v>
      </c>
      <c r="N768" s="106"/>
      <c r="O768" s="106"/>
      <c r="P768" s="106"/>
      <c r="Q768" s="106"/>
      <c r="R768" s="106"/>
      <c r="S768" s="106"/>
    </row>
    <row r="769" spans="1:19" s="105" customFormat="1">
      <c r="A769" s="106"/>
      <c r="B769" s="194"/>
      <c r="C769" s="139"/>
      <c r="D769" s="140"/>
      <c r="E769" s="139"/>
      <c r="F769" s="139"/>
      <c r="G769" s="140"/>
      <c r="H769" s="139"/>
      <c r="I769" s="141"/>
      <c r="J769" s="142"/>
      <c r="K769" s="143"/>
      <c r="N769" s="106"/>
      <c r="O769" s="106"/>
      <c r="P769" s="106"/>
      <c r="Q769" s="106"/>
      <c r="R769" s="106"/>
      <c r="S769" s="106"/>
    </row>
    <row r="770" spans="1:19" s="105" customFormat="1">
      <c r="A770" s="106"/>
      <c r="B770" s="194"/>
      <c r="C770" s="139"/>
      <c r="D770" s="140"/>
      <c r="E770" s="139"/>
      <c r="F770" s="139"/>
      <c r="G770" s="140"/>
      <c r="H770" s="139"/>
      <c r="I770" s="141"/>
      <c r="J770" s="142"/>
      <c r="K770" s="143"/>
      <c r="N770" s="106"/>
      <c r="O770" s="106"/>
      <c r="P770" s="106"/>
      <c r="Q770" s="106"/>
      <c r="R770" s="106"/>
      <c r="S770" s="106"/>
    </row>
    <row r="771" spans="1:19" s="105" customFormat="1">
      <c r="A771" s="106"/>
      <c r="B771" s="194"/>
      <c r="C771" s="139"/>
      <c r="D771" s="140"/>
      <c r="E771" s="139"/>
      <c r="F771" s="139"/>
      <c r="G771" s="140"/>
      <c r="H771" s="139"/>
      <c r="I771" s="141"/>
      <c r="J771" s="142"/>
      <c r="K771" s="143"/>
      <c r="N771" s="106"/>
      <c r="O771" s="106"/>
      <c r="P771" s="106"/>
      <c r="Q771" s="106"/>
      <c r="R771" s="106"/>
      <c r="S771" s="106"/>
    </row>
    <row r="772" spans="1:19" s="105" customFormat="1">
      <c r="A772" s="106"/>
      <c r="B772" s="194" t="s">
        <v>136</v>
      </c>
      <c r="C772" s="139"/>
      <c r="D772" s="140"/>
      <c r="E772" s="139">
        <v>1.89E-2</v>
      </c>
      <c r="F772" s="139"/>
      <c r="G772" s="140"/>
      <c r="H772" s="139"/>
      <c r="I772" s="141">
        <f t="shared" ref="I772:I831" si="33">+H772-E772</f>
        <v>-1.89E-2</v>
      </c>
      <c r="J772" s="142">
        <v>0</v>
      </c>
      <c r="K772" s="143"/>
      <c r="N772" s="106"/>
      <c r="O772" s="106"/>
      <c r="P772" s="106"/>
      <c r="Q772" s="106"/>
      <c r="R772" s="106"/>
      <c r="S772" s="106"/>
    </row>
    <row r="773" spans="1:19" s="105" customFormat="1" ht="56.25">
      <c r="A773" s="106"/>
      <c r="B773" s="194" t="s">
        <v>137</v>
      </c>
      <c r="C773" s="139"/>
      <c r="D773" s="140"/>
      <c r="E773" s="139">
        <v>5.0890000000000004</v>
      </c>
      <c r="F773" s="139"/>
      <c r="G773" s="140"/>
      <c r="H773" s="139">
        <v>15.234999999999999</v>
      </c>
      <c r="I773" s="141">
        <f t="shared" si="33"/>
        <v>10.145999999999999</v>
      </c>
      <c r="J773" s="142">
        <f t="shared" ref="J773:J831" si="34">+I773*100/H773</f>
        <v>66.5966524450279</v>
      </c>
      <c r="K773" s="175" t="s">
        <v>636</v>
      </c>
      <c r="L773" s="105">
        <f>SUM(L774:L778)</f>
        <v>15235000</v>
      </c>
      <c r="N773" s="106"/>
      <c r="O773" s="106"/>
      <c r="P773" s="106"/>
      <c r="Q773" s="106"/>
      <c r="R773" s="106"/>
      <c r="S773" s="106"/>
    </row>
    <row r="774" spans="1:19" s="105" customFormat="1">
      <c r="A774" s="106"/>
      <c r="B774" s="194"/>
      <c r="C774" s="139"/>
      <c r="D774" s="140"/>
      <c r="E774" s="139"/>
      <c r="F774" s="139"/>
      <c r="G774" s="140"/>
      <c r="H774" s="139"/>
      <c r="I774" s="141"/>
      <c r="J774" s="142"/>
      <c r="K774" s="143" t="s">
        <v>668</v>
      </c>
      <c r="L774" s="105">
        <v>1220000</v>
      </c>
      <c r="N774" s="106"/>
      <c r="O774" s="106"/>
      <c r="P774" s="106"/>
      <c r="Q774" s="106"/>
      <c r="R774" s="106"/>
      <c r="S774" s="106"/>
    </row>
    <row r="775" spans="1:19" s="105" customFormat="1" ht="37.5">
      <c r="A775" s="106"/>
      <c r="B775" s="194"/>
      <c r="C775" s="139"/>
      <c r="D775" s="140"/>
      <c r="E775" s="139"/>
      <c r="F775" s="139"/>
      <c r="G775" s="140"/>
      <c r="H775" s="139"/>
      <c r="I775" s="141"/>
      <c r="J775" s="142"/>
      <c r="K775" s="333" t="s">
        <v>638</v>
      </c>
      <c r="L775" s="105">
        <v>1300000</v>
      </c>
      <c r="N775" s="106"/>
      <c r="O775" s="106"/>
      <c r="P775" s="106"/>
      <c r="Q775" s="106"/>
      <c r="R775" s="106"/>
      <c r="S775" s="106"/>
    </row>
    <row r="776" spans="1:19" s="105" customFormat="1">
      <c r="A776" s="106"/>
      <c r="B776" s="194"/>
      <c r="C776" s="139"/>
      <c r="D776" s="140"/>
      <c r="E776" s="139"/>
      <c r="F776" s="139"/>
      <c r="G776" s="140"/>
      <c r="H776" s="139"/>
      <c r="I776" s="141"/>
      <c r="J776" s="142"/>
      <c r="K776" s="333" t="s">
        <v>643</v>
      </c>
      <c r="L776" s="105">
        <v>4500000</v>
      </c>
      <c r="N776" s="106"/>
      <c r="O776" s="106"/>
      <c r="P776" s="106"/>
      <c r="Q776" s="106"/>
      <c r="R776" s="106"/>
      <c r="S776" s="106"/>
    </row>
    <row r="777" spans="1:19" s="105" customFormat="1">
      <c r="A777" s="106"/>
      <c r="B777" s="194"/>
      <c r="C777" s="139"/>
      <c r="D777" s="140"/>
      <c r="E777" s="139"/>
      <c r="F777" s="139"/>
      <c r="G777" s="140"/>
      <c r="H777" s="139"/>
      <c r="I777" s="141"/>
      <c r="J777" s="142"/>
      <c r="K777" s="333" t="s">
        <v>650</v>
      </c>
      <c r="L777" s="105">
        <v>8075000</v>
      </c>
      <c r="N777" s="106"/>
      <c r="O777" s="106"/>
      <c r="P777" s="106"/>
      <c r="Q777" s="106"/>
      <c r="R777" s="106"/>
      <c r="S777" s="106"/>
    </row>
    <row r="778" spans="1:19" s="105" customFormat="1">
      <c r="A778" s="106"/>
      <c r="B778" s="194"/>
      <c r="C778" s="139"/>
      <c r="D778" s="140"/>
      <c r="E778" s="139"/>
      <c r="F778" s="139"/>
      <c r="G778" s="140"/>
      <c r="H778" s="139"/>
      <c r="I778" s="141"/>
      <c r="J778" s="142"/>
      <c r="K778" s="175" t="s">
        <v>659</v>
      </c>
      <c r="L778" s="105">
        <v>140000</v>
      </c>
      <c r="N778" s="106"/>
      <c r="O778" s="106"/>
      <c r="P778" s="106"/>
      <c r="Q778" s="106"/>
      <c r="R778" s="106"/>
      <c r="S778" s="106"/>
    </row>
    <row r="779" spans="1:19" s="105" customFormat="1">
      <c r="A779" s="106"/>
      <c r="B779" s="194"/>
      <c r="C779" s="139"/>
      <c r="D779" s="140"/>
      <c r="E779" s="139"/>
      <c r="F779" s="139"/>
      <c r="G779" s="140"/>
      <c r="H779" s="139"/>
      <c r="I779" s="141"/>
      <c r="J779" s="142"/>
      <c r="K779" s="333"/>
      <c r="N779" s="106"/>
      <c r="O779" s="106"/>
      <c r="P779" s="106"/>
      <c r="Q779" s="106"/>
      <c r="R779" s="106"/>
      <c r="S779" s="106"/>
    </row>
    <row r="780" spans="1:19" s="105" customFormat="1" ht="56.25">
      <c r="A780" s="106"/>
      <c r="B780" s="194" t="s">
        <v>147</v>
      </c>
      <c r="C780" s="139"/>
      <c r="D780" s="140"/>
      <c r="E780" s="139">
        <v>0.26500000000000001</v>
      </c>
      <c r="F780" s="139"/>
      <c r="G780" s="140"/>
      <c r="H780" s="139">
        <v>1.115</v>
      </c>
      <c r="I780" s="141">
        <f t="shared" si="33"/>
        <v>0.85</v>
      </c>
      <c r="J780" s="142">
        <f t="shared" si="34"/>
        <v>76.233183856502237</v>
      </c>
      <c r="K780" s="175" t="s">
        <v>637</v>
      </c>
      <c r="L780" s="105">
        <f>SUM(L781:L782)</f>
        <v>1115000</v>
      </c>
      <c r="N780" s="106"/>
      <c r="O780" s="106"/>
      <c r="P780" s="106"/>
      <c r="Q780" s="106"/>
      <c r="R780" s="106"/>
      <c r="S780" s="106"/>
    </row>
    <row r="781" spans="1:19" s="105" customFormat="1" ht="37.5">
      <c r="A781" s="106"/>
      <c r="B781" s="194"/>
      <c r="C781" s="139"/>
      <c r="D781" s="140"/>
      <c r="E781" s="139"/>
      <c r="F781" s="139"/>
      <c r="G781" s="140"/>
      <c r="H781" s="139"/>
      <c r="I781" s="141"/>
      <c r="J781" s="142"/>
      <c r="K781" s="333" t="s">
        <v>635</v>
      </c>
      <c r="L781" s="105">
        <v>400000</v>
      </c>
      <c r="N781" s="106"/>
      <c r="O781" s="106"/>
      <c r="P781" s="106"/>
      <c r="Q781" s="106"/>
      <c r="R781" s="106"/>
      <c r="S781" s="106"/>
    </row>
    <row r="782" spans="1:19" s="105" customFormat="1">
      <c r="A782" s="106"/>
      <c r="B782" s="194"/>
      <c r="C782" s="139"/>
      <c r="D782" s="140"/>
      <c r="E782" s="139"/>
      <c r="F782" s="139"/>
      <c r="G782" s="140"/>
      <c r="H782" s="139"/>
      <c r="I782" s="141"/>
      <c r="J782" s="142"/>
      <c r="K782" s="175" t="s">
        <v>659</v>
      </c>
      <c r="L782" s="105">
        <v>715000</v>
      </c>
      <c r="N782" s="106"/>
      <c r="O782" s="106"/>
      <c r="P782" s="106"/>
      <c r="Q782" s="106"/>
      <c r="R782" s="106"/>
      <c r="S782" s="106"/>
    </row>
    <row r="783" spans="1:19" s="105" customFormat="1">
      <c r="A783" s="106"/>
      <c r="B783" s="194" t="s">
        <v>139</v>
      </c>
      <c r="C783" s="139"/>
      <c r="D783" s="140"/>
      <c r="E783" s="139">
        <v>5.1894</v>
      </c>
      <c r="F783" s="139"/>
      <c r="G783" s="140"/>
      <c r="H783" s="139">
        <v>4.3228</v>
      </c>
      <c r="I783" s="141">
        <f t="shared" si="33"/>
        <v>-0.86660000000000004</v>
      </c>
      <c r="J783" s="142">
        <f t="shared" si="34"/>
        <v>-20.047191635051355</v>
      </c>
      <c r="K783" s="143" t="s">
        <v>651</v>
      </c>
      <c r="N783" s="106"/>
      <c r="O783" s="106"/>
      <c r="P783" s="106"/>
      <c r="Q783" s="106"/>
      <c r="R783" s="106"/>
      <c r="S783" s="106"/>
    </row>
    <row r="784" spans="1:19" s="105" customFormat="1">
      <c r="A784" s="106"/>
      <c r="B784" s="194"/>
      <c r="C784" s="139"/>
      <c r="D784" s="140"/>
      <c r="E784" s="139"/>
      <c r="F784" s="139"/>
      <c r="G784" s="140"/>
      <c r="H784" s="139"/>
      <c r="I784" s="141"/>
      <c r="J784" s="142"/>
      <c r="K784" s="333" t="s">
        <v>650</v>
      </c>
      <c r="L784" s="105">
        <v>4322800</v>
      </c>
      <c r="N784" s="106"/>
      <c r="O784" s="106"/>
      <c r="P784" s="106"/>
      <c r="Q784" s="106"/>
      <c r="R784" s="106"/>
      <c r="S784" s="106"/>
    </row>
    <row r="785" spans="1:19" s="105" customFormat="1">
      <c r="A785" s="106"/>
      <c r="B785" s="194"/>
      <c r="C785" s="139"/>
      <c r="D785" s="140"/>
      <c r="E785" s="139"/>
      <c r="F785" s="139"/>
      <c r="G785" s="140"/>
      <c r="H785" s="139"/>
      <c r="I785" s="141"/>
      <c r="J785" s="142"/>
      <c r="K785" s="143"/>
      <c r="N785" s="106"/>
      <c r="O785" s="106"/>
      <c r="P785" s="106"/>
      <c r="Q785" s="106"/>
      <c r="R785" s="106"/>
      <c r="S785" s="106"/>
    </row>
    <row r="786" spans="1:19" s="105" customFormat="1">
      <c r="A786" s="106"/>
      <c r="B786" s="194" t="s">
        <v>140</v>
      </c>
      <c r="C786" s="139"/>
      <c r="D786" s="140"/>
      <c r="E786" s="139">
        <v>0.45</v>
      </c>
      <c r="F786" s="139"/>
      <c r="G786" s="140"/>
      <c r="H786" s="139"/>
      <c r="I786" s="141">
        <f t="shared" si="33"/>
        <v>-0.45</v>
      </c>
      <c r="J786" s="142">
        <v>0</v>
      </c>
      <c r="K786" s="143"/>
      <c r="N786" s="106"/>
      <c r="O786" s="106"/>
      <c r="P786" s="106"/>
      <c r="Q786" s="106"/>
      <c r="R786" s="106"/>
      <c r="S786" s="106"/>
    </row>
    <row r="787" spans="1:19" s="105" customFormat="1">
      <c r="A787" s="106"/>
      <c r="B787" s="194" t="s">
        <v>141</v>
      </c>
      <c r="C787" s="139"/>
      <c r="D787" s="140"/>
      <c r="E787" s="139">
        <v>0.75</v>
      </c>
      <c r="F787" s="139"/>
      <c r="G787" s="140"/>
      <c r="H787" s="139"/>
      <c r="I787" s="141">
        <f t="shared" si="33"/>
        <v>-0.75</v>
      </c>
      <c r="J787" s="142">
        <v>0</v>
      </c>
      <c r="K787" s="143"/>
      <c r="N787" s="106"/>
      <c r="O787" s="106"/>
      <c r="P787" s="106"/>
      <c r="Q787" s="106"/>
      <c r="R787" s="106"/>
      <c r="S787" s="106"/>
    </row>
    <row r="788" spans="1:19" s="105" customFormat="1">
      <c r="A788" s="106"/>
      <c r="B788" s="194" t="s">
        <v>142</v>
      </c>
      <c r="C788" s="139"/>
      <c r="D788" s="140"/>
      <c r="E788" s="139">
        <v>3</v>
      </c>
      <c r="F788" s="139"/>
      <c r="G788" s="140"/>
      <c r="H788" s="139"/>
      <c r="I788" s="141">
        <f t="shared" si="33"/>
        <v>-3</v>
      </c>
      <c r="J788" s="142">
        <v>0</v>
      </c>
      <c r="K788" s="143"/>
      <c r="N788" s="106"/>
      <c r="O788" s="106"/>
      <c r="P788" s="106"/>
      <c r="Q788" s="106"/>
      <c r="R788" s="106"/>
      <c r="S788" s="106"/>
    </row>
    <row r="789" spans="1:19" s="105" customFormat="1">
      <c r="A789" s="106"/>
      <c r="B789" s="175" t="s">
        <v>45</v>
      </c>
      <c r="C789" s="139"/>
      <c r="D789" s="140"/>
      <c r="E789" s="139">
        <f>SUM(E790:E794)</f>
        <v>0</v>
      </c>
      <c r="F789" s="139"/>
      <c r="G789" s="140"/>
      <c r="H789" s="139">
        <f>SUM(H790:H794)</f>
        <v>0</v>
      </c>
      <c r="I789" s="141">
        <f t="shared" si="33"/>
        <v>0</v>
      </c>
      <c r="J789" s="142"/>
      <c r="K789" s="143"/>
      <c r="N789" s="106"/>
      <c r="O789" s="106"/>
      <c r="P789" s="106"/>
      <c r="Q789" s="106"/>
      <c r="R789" s="106"/>
      <c r="S789" s="106"/>
    </row>
    <row r="790" spans="1:19" s="105" customFormat="1">
      <c r="A790" s="106"/>
      <c r="B790" s="194" t="s">
        <v>106</v>
      </c>
      <c r="C790" s="139"/>
      <c r="D790" s="140"/>
      <c r="E790" s="139"/>
      <c r="F790" s="139"/>
      <c r="G790" s="140"/>
      <c r="H790" s="139"/>
      <c r="I790" s="141"/>
      <c r="J790" s="142"/>
      <c r="K790" s="143"/>
      <c r="N790" s="106"/>
      <c r="O790" s="106"/>
      <c r="P790" s="106"/>
      <c r="Q790" s="106"/>
      <c r="R790" s="106"/>
      <c r="S790" s="106"/>
    </row>
    <row r="791" spans="1:19" s="105" customFormat="1">
      <c r="A791" s="106"/>
      <c r="B791" s="194" t="s">
        <v>107</v>
      </c>
      <c r="C791" s="139"/>
      <c r="D791" s="140"/>
      <c r="E791" s="139"/>
      <c r="F791" s="139"/>
      <c r="G791" s="140"/>
      <c r="H791" s="139"/>
      <c r="I791" s="141"/>
      <c r="J791" s="142"/>
      <c r="K791" s="143"/>
      <c r="N791" s="106"/>
      <c r="O791" s="106"/>
      <c r="P791" s="106"/>
      <c r="Q791" s="106"/>
      <c r="R791" s="106"/>
      <c r="S791" s="106"/>
    </row>
    <row r="792" spans="1:19" s="105" customFormat="1">
      <c r="A792" s="106"/>
      <c r="B792" s="194" t="s">
        <v>108</v>
      </c>
      <c r="C792" s="139"/>
      <c r="D792" s="140"/>
      <c r="E792" s="139"/>
      <c r="F792" s="139"/>
      <c r="G792" s="140"/>
      <c r="H792" s="139"/>
      <c r="I792" s="141"/>
      <c r="J792" s="142"/>
      <c r="K792" s="143"/>
      <c r="N792" s="106"/>
      <c r="O792" s="106"/>
      <c r="P792" s="106"/>
      <c r="Q792" s="106"/>
      <c r="R792" s="106"/>
      <c r="S792" s="106"/>
    </row>
    <row r="793" spans="1:19" s="105" customFormat="1">
      <c r="A793" s="106"/>
      <c r="B793" s="194" t="s">
        <v>109</v>
      </c>
      <c r="C793" s="139"/>
      <c r="D793" s="140"/>
      <c r="E793" s="139"/>
      <c r="F793" s="139"/>
      <c r="G793" s="140"/>
      <c r="H793" s="139"/>
      <c r="I793" s="141"/>
      <c r="J793" s="142"/>
      <c r="K793" s="143"/>
      <c r="N793" s="106"/>
      <c r="O793" s="106"/>
      <c r="P793" s="106"/>
      <c r="Q793" s="106"/>
      <c r="R793" s="106"/>
      <c r="S793" s="106"/>
    </row>
    <row r="794" spans="1:19" s="105" customFormat="1">
      <c r="A794" s="106"/>
      <c r="B794" s="194" t="s">
        <v>111</v>
      </c>
      <c r="C794" s="139"/>
      <c r="D794" s="140"/>
      <c r="E794" s="139"/>
      <c r="F794" s="139"/>
      <c r="G794" s="140"/>
      <c r="H794" s="139"/>
      <c r="I794" s="141"/>
      <c r="J794" s="142"/>
      <c r="K794" s="143"/>
      <c r="N794" s="106"/>
      <c r="O794" s="106"/>
      <c r="P794" s="106"/>
      <c r="Q794" s="106"/>
      <c r="R794" s="106"/>
      <c r="S794" s="106"/>
    </row>
    <row r="795" spans="1:19" s="105" customFormat="1">
      <c r="A795" s="106"/>
      <c r="B795" s="175" t="s">
        <v>46</v>
      </c>
      <c r="C795" s="139"/>
      <c r="D795" s="140"/>
      <c r="E795" s="139">
        <f>+E796+E807</f>
        <v>0</v>
      </c>
      <c r="F795" s="139"/>
      <c r="G795" s="140"/>
      <c r="H795" s="139">
        <f>+H796+H807</f>
        <v>0</v>
      </c>
      <c r="I795" s="141"/>
      <c r="J795" s="142"/>
      <c r="K795" s="143"/>
      <c r="N795" s="106"/>
      <c r="O795" s="106"/>
      <c r="P795" s="106"/>
      <c r="Q795" s="106"/>
      <c r="R795" s="106"/>
      <c r="S795" s="106"/>
    </row>
    <row r="796" spans="1:19" s="105" customFormat="1">
      <c r="A796" s="106"/>
      <c r="B796" s="175" t="s">
        <v>47</v>
      </c>
      <c r="C796" s="139"/>
      <c r="D796" s="140"/>
      <c r="E796" s="139">
        <f>+E798</f>
        <v>0</v>
      </c>
      <c r="F796" s="139"/>
      <c r="G796" s="140"/>
      <c r="H796" s="139">
        <f>+H798</f>
        <v>0</v>
      </c>
      <c r="I796" s="141"/>
      <c r="J796" s="142"/>
      <c r="K796" s="143"/>
      <c r="N796" s="106"/>
      <c r="O796" s="106"/>
      <c r="P796" s="106"/>
      <c r="Q796" s="106"/>
      <c r="R796" s="106"/>
      <c r="S796" s="106"/>
    </row>
    <row r="797" spans="1:19" s="105" customFormat="1">
      <c r="A797" s="106"/>
      <c r="B797" s="175" t="s">
        <v>19</v>
      </c>
      <c r="C797" s="139"/>
      <c r="D797" s="140"/>
      <c r="E797" s="139"/>
      <c r="F797" s="139"/>
      <c r="G797" s="140"/>
      <c r="H797" s="139"/>
      <c r="I797" s="139"/>
      <c r="J797" s="139"/>
      <c r="K797" s="143"/>
      <c r="N797" s="106"/>
      <c r="O797" s="106"/>
      <c r="P797" s="106"/>
      <c r="Q797" s="106"/>
      <c r="R797" s="106"/>
      <c r="S797" s="106"/>
    </row>
    <row r="798" spans="1:19" s="105" customFormat="1">
      <c r="A798" s="106"/>
      <c r="B798" s="175" t="s">
        <v>110</v>
      </c>
      <c r="C798" s="139"/>
      <c r="D798" s="140"/>
      <c r="E798" s="139"/>
      <c r="F798" s="139"/>
      <c r="G798" s="140"/>
      <c r="H798" s="139"/>
      <c r="I798" s="139"/>
      <c r="J798" s="139"/>
      <c r="K798" s="143"/>
      <c r="N798" s="106"/>
      <c r="O798" s="106"/>
      <c r="P798" s="106"/>
      <c r="Q798" s="106"/>
      <c r="R798" s="106"/>
      <c r="S798" s="106"/>
    </row>
    <row r="799" spans="1:19" s="105" customFormat="1">
      <c r="A799" s="106"/>
      <c r="B799" s="194" t="s">
        <v>17</v>
      </c>
      <c r="C799" s="139"/>
      <c r="D799" s="140"/>
      <c r="E799" s="139"/>
      <c r="F799" s="139"/>
      <c r="G799" s="140"/>
      <c r="H799" s="139"/>
      <c r="I799" s="141"/>
      <c r="J799" s="142"/>
      <c r="K799" s="143"/>
      <c r="N799" s="106"/>
      <c r="O799" s="106"/>
      <c r="P799" s="106"/>
      <c r="Q799" s="106"/>
      <c r="R799" s="106"/>
      <c r="S799" s="106"/>
    </row>
    <row r="800" spans="1:19" s="105" customFormat="1">
      <c r="A800" s="106"/>
      <c r="B800" s="194" t="s">
        <v>18</v>
      </c>
      <c r="C800" s="139"/>
      <c r="D800" s="140"/>
      <c r="E800" s="139"/>
      <c r="F800" s="139"/>
      <c r="G800" s="140"/>
      <c r="H800" s="139"/>
      <c r="I800" s="141"/>
      <c r="J800" s="142"/>
      <c r="K800" s="143"/>
      <c r="N800" s="106"/>
      <c r="O800" s="106"/>
      <c r="P800" s="106"/>
      <c r="Q800" s="106"/>
      <c r="R800" s="106"/>
      <c r="S800" s="106"/>
    </row>
    <row r="801" spans="1:19" s="105" customFormat="1">
      <c r="A801" s="106"/>
      <c r="B801" s="175" t="s">
        <v>22</v>
      </c>
      <c r="C801" s="139"/>
      <c r="D801" s="140"/>
      <c r="E801" s="139"/>
      <c r="F801" s="139"/>
      <c r="G801" s="140"/>
      <c r="H801" s="139"/>
      <c r="I801" s="141"/>
      <c r="J801" s="142"/>
      <c r="K801" s="143"/>
      <c r="N801" s="106"/>
      <c r="O801" s="106"/>
      <c r="P801" s="106"/>
      <c r="Q801" s="106"/>
      <c r="R801" s="106"/>
      <c r="S801" s="106"/>
    </row>
    <row r="802" spans="1:19" s="105" customFormat="1">
      <c r="A802" s="106"/>
      <c r="B802" s="175" t="s">
        <v>48</v>
      </c>
      <c r="C802" s="139"/>
      <c r="D802" s="140"/>
      <c r="E802" s="139"/>
      <c r="F802" s="139"/>
      <c r="G802" s="140"/>
      <c r="H802" s="139"/>
      <c r="I802" s="141"/>
      <c r="J802" s="142"/>
      <c r="K802" s="143"/>
      <c r="N802" s="106"/>
      <c r="O802" s="106"/>
      <c r="P802" s="106"/>
      <c r="Q802" s="106"/>
      <c r="R802" s="106"/>
      <c r="S802" s="106"/>
    </row>
    <row r="803" spans="1:19" s="105" customFormat="1">
      <c r="A803" s="106"/>
      <c r="B803" s="194" t="s">
        <v>23</v>
      </c>
      <c r="C803" s="139"/>
      <c r="D803" s="140"/>
      <c r="E803" s="139"/>
      <c r="F803" s="139"/>
      <c r="G803" s="140"/>
      <c r="H803" s="139"/>
      <c r="I803" s="141"/>
      <c r="J803" s="142"/>
      <c r="K803" s="143"/>
      <c r="N803" s="106"/>
      <c r="O803" s="106"/>
      <c r="P803" s="106"/>
      <c r="Q803" s="106"/>
      <c r="R803" s="106"/>
      <c r="S803" s="106"/>
    </row>
    <row r="804" spans="1:19" s="105" customFormat="1">
      <c r="A804" s="106"/>
      <c r="B804" s="175" t="s">
        <v>20</v>
      </c>
      <c r="C804" s="139"/>
      <c r="D804" s="140"/>
      <c r="E804" s="139"/>
      <c r="F804" s="139"/>
      <c r="G804" s="140"/>
      <c r="H804" s="139"/>
      <c r="I804" s="141"/>
      <c r="J804" s="142"/>
      <c r="K804" s="143"/>
      <c r="N804" s="106"/>
      <c r="O804" s="106"/>
      <c r="P804" s="106"/>
      <c r="Q804" s="106"/>
      <c r="R804" s="106"/>
      <c r="S804" s="106"/>
    </row>
    <row r="805" spans="1:19" s="105" customFormat="1">
      <c r="A805" s="106"/>
      <c r="B805" s="175" t="s">
        <v>48</v>
      </c>
      <c r="C805" s="139"/>
      <c r="D805" s="140"/>
      <c r="E805" s="139"/>
      <c r="F805" s="139"/>
      <c r="G805" s="140"/>
      <c r="H805" s="139"/>
      <c r="I805" s="141"/>
      <c r="J805" s="142"/>
      <c r="K805" s="143"/>
      <c r="N805" s="106"/>
      <c r="O805" s="106"/>
      <c r="P805" s="106"/>
      <c r="Q805" s="106"/>
      <c r="R805" s="106"/>
      <c r="S805" s="106"/>
    </row>
    <row r="806" spans="1:19" s="105" customFormat="1">
      <c r="A806" s="106"/>
      <c r="B806" s="194" t="s">
        <v>23</v>
      </c>
      <c r="C806" s="139"/>
      <c r="D806" s="140"/>
      <c r="E806" s="139"/>
      <c r="F806" s="139"/>
      <c r="G806" s="140"/>
      <c r="H806" s="139"/>
      <c r="I806" s="141"/>
      <c r="J806" s="142"/>
      <c r="K806" s="143"/>
      <c r="N806" s="106"/>
      <c r="O806" s="106"/>
      <c r="P806" s="106"/>
      <c r="Q806" s="106"/>
      <c r="R806" s="106"/>
      <c r="S806" s="106"/>
    </row>
    <row r="807" spans="1:19" s="105" customFormat="1">
      <c r="A807" s="106"/>
      <c r="B807" s="175" t="s">
        <v>49</v>
      </c>
      <c r="C807" s="139"/>
      <c r="D807" s="140"/>
      <c r="E807" s="139">
        <f>+E809</f>
        <v>0</v>
      </c>
      <c r="F807" s="139"/>
      <c r="G807" s="140"/>
      <c r="H807" s="139">
        <f>+H809</f>
        <v>0</v>
      </c>
      <c r="I807" s="143"/>
      <c r="J807" s="143"/>
      <c r="K807" s="143"/>
      <c r="N807" s="106"/>
      <c r="O807" s="106"/>
      <c r="P807" s="106"/>
      <c r="Q807" s="106"/>
      <c r="R807" s="106"/>
      <c r="S807" s="106"/>
    </row>
    <row r="808" spans="1:19" s="105" customFormat="1">
      <c r="A808" s="106"/>
      <c r="B808" s="175" t="s">
        <v>19</v>
      </c>
      <c r="C808" s="139"/>
      <c r="D808" s="140"/>
      <c r="E808" s="139"/>
      <c r="F808" s="139"/>
      <c r="G808" s="140"/>
      <c r="H808" s="139"/>
      <c r="I808" s="139"/>
      <c r="J808" s="139"/>
      <c r="K808" s="143"/>
      <c r="N808" s="106"/>
      <c r="O808" s="106"/>
      <c r="P808" s="106"/>
      <c r="Q808" s="106"/>
      <c r="R808" s="106"/>
      <c r="S808" s="106"/>
    </row>
    <row r="809" spans="1:19" s="105" customFormat="1">
      <c r="A809" s="106"/>
      <c r="B809" s="175" t="s">
        <v>50</v>
      </c>
      <c r="C809" s="139"/>
      <c r="D809" s="140"/>
      <c r="E809" s="139"/>
      <c r="F809" s="139"/>
      <c r="G809" s="140"/>
      <c r="H809" s="139"/>
      <c r="I809" s="139"/>
      <c r="J809" s="139"/>
      <c r="K809" s="143"/>
      <c r="N809" s="106"/>
      <c r="O809" s="106"/>
      <c r="P809" s="106"/>
      <c r="Q809" s="106"/>
      <c r="R809" s="106"/>
      <c r="S809" s="106"/>
    </row>
    <row r="810" spans="1:19" s="105" customFormat="1" ht="27.75" customHeight="1">
      <c r="A810" s="106"/>
      <c r="B810" s="194" t="s">
        <v>17</v>
      </c>
      <c r="C810" s="139"/>
      <c r="D810" s="140"/>
      <c r="E810" s="139"/>
      <c r="F810" s="139"/>
      <c r="G810" s="140"/>
      <c r="H810" s="139"/>
      <c r="I810" s="141"/>
      <c r="J810" s="142"/>
      <c r="K810" s="143"/>
      <c r="N810" s="106"/>
      <c r="O810" s="106"/>
      <c r="P810" s="106"/>
      <c r="Q810" s="106"/>
      <c r="R810" s="106"/>
      <c r="S810" s="106"/>
    </row>
    <row r="811" spans="1:19" s="105" customFormat="1" ht="27.75" customHeight="1">
      <c r="A811" s="106"/>
      <c r="B811" s="194" t="s">
        <v>18</v>
      </c>
      <c r="C811" s="139"/>
      <c r="D811" s="140"/>
      <c r="E811" s="139"/>
      <c r="F811" s="139"/>
      <c r="G811" s="140"/>
      <c r="H811" s="139"/>
      <c r="I811" s="141"/>
      <c r="J811" s="142"/>
      <c r="K811" s="143"/>
      <c r="N811" s="106"/>
      <c r="O811" s="106"/>
      <c r="P811" s="106"/>
      <c r="Q811" s="106"/>
      <c r="R811" s="106"/>
      <c r="S811" s="106"/>
    </row>
    <row r="812" spans="1:19" s="105" customFormat="1">
      <c r="A812" s="106"/>
      <c r="B812" s="175" t="s">
        <v>22</v>
      </c>
      <c r="C812" s="139"/>
      <c r="D812" s="140"/>
      <c r="E812" s="139"/>
      <c r="F812" s="139"/>
      <c r="G812" s="140"/>
      <c r="H812" s="139"/>
      <c r="I812" s="141"/>
      <c r="J812" s="142"/>
      <c r="K812" s="143"/>
      <c r="N812" s="106"/>
      <c r="O812" s="106"/>
      <c r="P812" s="106"/>
      <c r="Q812" s="106"/>
      <c r="R812" s="106"/>
      <c r="S812" s="106"/>
    </row>
    <row r="813" spans="1:19" s="105" customFormat="1">
      <c r="A813" s="106"/>
      <c r="B813" s="175" t="s">
        <v>51</v>
      </c>
      <c r="C813" s="139"/>
      <c r="D813" s="140"/>
      <c r="E813" s="139"/>
      <c r="F813" s="139"/>
      <c r="G813" s="140"/>
      <c r="H813" s="139"/>
      <c r="I813" s="141"/>
      <c r="J813" s="142"/>
      <c r="K813" s="143"/>
      <c r="N813" s="106"/>
      <c r="O813" s="106"/>
      <c r="P813" s="106"/>
      <c r="Q813" s="106"/>
      <c r="R813" s="106"/>
      <c r="S813" s="106"/>
    </row>
    <row r="814" spans="1:19" s="105" customFormat="1">
      <c r="A814" s="106"/>
      <c r="B814" s="194" t="s">
        <v>23</v>
      </c>
      <c r="C814" s="139"/>
      <c r="D814" s="140"/>
      <c r="E814" s="139"/>
      <c r="F814" s="139"/>
      <c r="G814" s="140"/>
      <c r="H814" s="139"/>
      <c r="I814" s="141"/>
      <c r="J814" s="142"/>
      <c r="K814" s="143"/>
      <c r="N814" s="106"/>
      <c r="O814" s="106"/>
      <c r="P814" s="106"/>
      <c r="Q814" s="106"/>
      <c r="R814" s="106"/>
      <c r="S814" s="106"/>
    </row>
    <row r="815" spans="1:19" s="105" customFormat="1">
      <c r="A815" s="106"/>
      <c r="B815" s="175" t="s">
        <v>20</v>
      </c>
      <c r="C815" s="139"/>
      <c r="D815" s="140"/>
      <c r="E815" s="139"/>
      <c r="F815" s="139"/>
      <c r="G815" s="140"/>
      <c r="H815" s="139"/>
      <c r="I815" s="141"/>
      <c r="J815" s="142"/>
      <c r="K815" s="143"/>
      <c r="N815" s="106"/>
      <c r="O815" s="106"/>
      <c r="P815" s="106"/>
      <c r="Q815" s="106"/>
      <c r="R815" s="106"/>
      <c r="S815" s="106"/>
    </row>
    <row r="816" spans="1:19" s="105" customFormat="1">
      <c r="A816" s="106"/>
      <c r="B816" s="175" t="s">
        <v>51</v>
      </c>
      <c r="C816" s="139"/>
      <c r="D816" s="140"/>
      <c r="E816" s="139"/>
      <c r="F816" s="139"/>
      <c r="G816" s="140"/>
      <c r="H816" s="139"/>
      <c r="I816" s="141"/>
      <c r="J816" s="142"/>
      <c r="K816" s="143"/>
      <c r="N816" s="106"/>
      <c r="O816" s="106"/>
      <c r="P816" s="106"/>
      <c r="Q816" s="106"/>
      <c r="R816" s="106"/>
      <c r="S816" s="106"/>
    </row>
    <row r="817" spans="1:19" s="105" customFormat="1">
      <c r="A817" s="106"/>
      <c r="B817" s="194" t="s">
        <v>23</v>
      </c>
      <c r="C817" s="139"/>
      <c r="D817" s="140"/>
      <c r="E817" s="139"/>
      <c r="F817" s="139"/>
      <c r="G817" s="140"/>
      <c r="H817" s="139"/>
      <c r="I817" s="141"/>
      <c r="J817" s="142"/>
      <c r="K817" s="143"/>
      <c r="N817" s="106"/>
      <c r="O817" s="106"/>
      <c r="P817" s="106"/>
      <c r="Q817" s="106"/>
      <c r="R817" s="106"/>
      <c r="S817" s="106"/>
    </row>
    <row r="818" spans="1:19" s="105" customFormat="1">
      <c r="A818" s="106"/>
      <c r="B818" s="175" t="s">
        <v>53</v>
      </c>
      <c r="C818" s="139"/>
      <c r="D818" s="140"/>
      <c r="E818" s="139"/>
      <c r="F818" s="139"/>
      <c r="G818" s="140"/>
      <c r="H818" s="139">
        <f>+H820</f>
        <v>0</v>
      </c>
      <c r="I818" s="139"/>
      <c r="J818" s="139"/>
      <c r="K818" s="143"/>
      <c r="N818" s="106"/>
      <c r="O818" s="106"/>
      <c r="P818" s="106"/>
      <c r="Q818" s="106"/>
      <c r="R818" s="106"/>
      <c r="S818" s="106"/>
    </row>
    <row r="819" spans="1:19" s="105" customFormat="1">
      <c r="A819" s="106"/>
      <c r="B819" s="175" t="s">
        <v>52</v>
      </c>
      <c r="C819" s="139"/>
      <c r="D819" s="140"/>
      <c r="E819" s="139"/>
      <c r="F819" s="139"/>
      <c r="G819" s="140"/>
      <c r="H819" s="139"/>
      <c r="I819" s="139"/>
      <c r="J819" s="139"/>
      <c r="K819" s="143"/>
      <c r="N819" s="106"/>
      <c r="O819" s="106"/>
      <c r="P819" s="106"/>
      <c r="Q819" s="106"/>
      <c r="R819" s="106"/>
      <c r="S819" s="106"/>
    </row>
    <row r="820" spans="1:19" s="105" customFormat="1">
      <c r="A820" s="106"/>
      <c r="B820" s="175"/>
      <c r="C820" s="139"/>
      <c r="D820" s="140"/>
      <c r="E820" s="139"/>
      <c r="F820" s="139"/>
      <c r="G820" s="140"/>
      <c r="H820" s="139"/>
      <c r="I820" s="139"/>
      <c r="J820" s="139"/>
      <c r="K820" s="175"/>
      <c r="N820" s="106"/>
      <c r="O820" s="106"/>
      <c r="P820" s="106"/>
      <c r="Q820" s="106"/>
      <c r="R820" s="106"/>
      <c r="S820" s="106"/>
    </row>
    <row r="821" spans="1:19" s="105" customFormat="1">
      <c r="A821" s="106"/>
      <c r="B821" s="175" t="s">
        <v>56</v>
      </c>
      <c r="C821" s="139"/>
      <c r="D821" s="140"/>
      <c r="E821" s="139">
        <f>SUM(E822:E822)</f>
        <v>0</v>
      </c>
      <c r="F821" s="139"/>
      <c r="G821" s="140"/>
      <c r="H821" s="139">
        <f>SUM(H822:H822)</f>
        <v>1.4</v>
      </c>
      <c r="I821" s="141">
        <f t="shared" si="33"/>
        <v>1.4</v>
      </c>
      <c r="J821" s="142">
        <f t="shared" si="34"/>
        <v>100</v>
      </c>
      <c r="K821" s="143"/>
      <c r="N821" s="106"/>
      <c r="O821" s="106"/>
      <c r="P821" s="106"/>
      <c r="Q821" s="106"/>
      <c r="R821" s="106"/>
      <c r="S821" s="106"/>
    </row>
    <row r="822" spans="1:19" s="105" customFormat="1" ht="37.5">
      <c r="A822" s="106"/>
      <c r="B822" s="175" t="s">
        <v>286</v>
      </c>
      <c r="C822" s="139"/>
      <c r="D822" s="140"/>
      <c r="E822" s="139"/>
      <c r="F822" s="139"/>
      <c r="G822" s="140"/>
      <c r="H822" s="139">
        <v>1.4</v>
      </c>
      <c r="I822" s="141">
        <f t="shared" si="33"/>
        <v>1.4</v>
      </c>
      <c r="J822" s="142">
        <f t="shared" si="34"/>
        <v>100</v>
      </c>
      <c r="K822" s="175" t="s">
        <v>1030</v>
      </c>
      <c r="N822" s="106"/>
      <c r="O822" s="106"/>
      <c r="P822" s="106"/>
      <c r="Q822" s="106"/>
      <c r="R822" s="106"/>
      <c r="S822" s="106"/>
    </row>
    <row r="823" spans="1:19" s="105" customFormat="1">
      <c r="A823" s="106"/>
      <c r="B823" s="175"/>
      <c r="C823" s="139"/>
      <c r="D823" s="140"/>
      <c r="E823" s="139"/>
      <c r="F823" s="139"/>
      <c r="G823" s="140"/>
      <c r="H823" s="139"/>
      <c r="I823" s="141"/>
      <c r="J823" s="142"/>
      <c r="K823" s="143"/>
      <c r="N823" s="106"/>
      <c r="O823" s="106"/>
      <c r="P823" s="106"/>
      <c r="Q823" s="106"/>
      <c r="R823" s="106"/>
      <c r="S823" s="106"/>
    </row>
    <row r="824" spans="1:19" s="105" customFormat="1" ht="45" customHeight="1">
      <c r="A824" s="106"/>
      <c r="B824" s="286" t="s">
        <v>148</v>
      </c>
      <c r="C824" s="139"/>
      <c r="D824" s="140"/>
      <c r="E824" s="139">
        <f>+E826+E870+E893+E896</f>
        <v>123.8125</v>
      </c>
      <c r="F824" s="139"/>
      <c r="G824" s="140"/>
      <c r="H824" s="139">
        <f>+H826+H870+H893+H896</f>
        <v>135.71640000000002</v>
      </c>
      <c r="I824" s="141">
        <f t="shared" si="33"/>
        <v>11.903900000000021</v>
      </c>
      <c r="J824" s="142">
        <f t="shared" si="34"/>
        <v>8.7711580914318539</v>
      </c>
      <c r="K824" s="143"/>
      <c r="N824" s="106"/>
      <c r="O824" s="106"/>
      <c r="P824" s="106"/>
      <c r="Q824" s="106"/>
      <c r="R824" s="106"/>
      <c r="S824" s="106"/>
    </row>
    <row r="825" spans="1:19" s="105" customFormat="1" ht="27.75" customHeight="1">
      <c r="A825" s="106"/>
      <c r="B825" s="245" t="s">
        <v>94</v>
      </c>
      <c r="C825" s="139"/>
      <c r="D825" s="140"/>
      <c r="E825" s="139"/>
      <c r="F825" s="139"/>
      <c r="G825" s="140"/>
      <c r="H825" s="139"/>
      <c r="I825" s="141"/>
      <c r="J825" s="142"/>
      <c r="K825" s="143"/>
      <c r="N825" s="106"/>
      <c r="O825" s="106"/>
      <c r="P825" s="106"/>
      <c r="Q825" s="106"/>
      <c r="R825" s="106"/>
      <c r="S825" s="106"/>
    </row>
    <row r="826" spans="1:19" s="105" customFormat="1">
      <c r="A826" s="106"/>
      <c r="B826" s="175" t="s">
        <v>38</v>
      </c>
      <c r="C826" s="139"/>
      <c r="D826" s="140"/>
      <c r="E826" s="139">
        <f>+E827+E864</f>
        <v>9.7285000000000004</v>
      </c>
      <c r="F826" s="139"/>
      <c r="G826" s="140"/>
      <c r="H826" s="139">
        <f>+H827+H864</f>
        <v>12.6854</v>
      </c>
      <c r="I826" s="141">
        <f t="shared" si="33"/>
        <v>2.9568999999999992</v>
      </c>
      <c r="J826" s="142">
        <f t="shared" si="34"/>
        <v>23.309473883361971</v>
      </c>
      <c r="K826" s="143"/>
      <c r="N826" s="106"/>
      <c r="O826" s="106"/>
      <c r="P826" s="106"/>
      <c r="Q826" s="106"/>
      <c r="R826" s="106"/>
      <c r="S826" s="106"/>
    </row>
    <row r="827" spans="1:19" s="105" customFormat="1">
      <c r="A827" s="106"/>
      <c r="B827" s="175" t="s">
        <v>41</v>
      </c>
      <c r="C827" s="139"/>
      <c r="D827" s="140"/>
      <c r="E827" s="139">
        <f>+E828+E831+E860</f>
        <v>9.7285000000000004</v>
      </c>
      <c r="F827" s="139"/>
      <c r="G827" s="140"/>
      <c r="H827" s="139">
        <f>+H828+H831+H860</f>
        <v>12.6854</v>
      </c>
      <c r="I827" s="141">
        <f t="shared" si="33"/>
        <v>2.9568999999999992</v>
      </c>
      <c r="J827" s="142">
        <f t="shared" si="34"/>
        <v>23.309473883361971</v>
      </c>
      <c r="K827" s="143"/>
      <c r="N827" s="106"/>
      <c r="O827" s="106"/>
      <c r="P827" s="106"/>
      <c r="Q827" s="106"/>
      <c r="R827" s="106"/>
      <c r="S827" s="106"/>
    </row>
    <row r="828" spans="1:19" s="105" customFormat="1">
      <c r="A828" s="106"/>
      <c r="B828" s="175" t="s">
        <v>42</v>
      </c>
      <c r="C828" s="139"/>
      <c r="D828" s="140"/>
      <c r="E828" s="139">
        <f>SUM(E829:E830)</f>
        <v>2.8965999999999998</v>
      </c>
      <c r="F828" s="139"/>
      <c r="G828" s="140"/>
      <c r="H828" s="139">
        <f>SUM(H829:H830)</f>
        <v>3.8104</v>
      </c>
      <c r="I828" s="141">
        <f t="shared" si="33"/>
        <v>0.91380000000000017</v>
      </c>
      <c r="J828" s="142">
        <f t="shared" si="34"/>
        <v>23.981734201133744</v>
      </c>
      <c r="K828" s="143"/>
      <c r="N828" s="106"/>
      <c r="O828" s="106"/>
      <c r="P828" s="106"/>
      <c r="Q828" s="106"/>
      <c r="R828" s="106"/>
      <c r="S828" s="106"/>
    </row>
    <row r="829" spans="1:19" s="105" customFormat="1" ht="93.75">
      <c r="A829" s="106"/>
      <c r="B829" s="194" t="s">
        <v>210</v>
      </c>
      <c r="C829" s="139"/>
      <c r="D829" s="140"/>
      <c r="E829" s="139">
        <v>0.5</v>
      </c>
      <c r="F829" s="139"/>
      <c r="G829" s="140"/>
      <c r="H829" s="139">
        <v>0.52159999999999995</v>
      </c>
      <c r="I829" s="141">
        <f t="shared" si="33"/>
        <v>2.1599999999999953E-2</v>
      </c>
      <c r="J829" s="142">
        <f t="shared" si="34"/>
        <v>4.1411042944785192</v>
      </c>
      <c r="K829" s="175" t="s">
        <v>211</v>
      </c>
      <c r="N829" s="106"/>
      <c r="O829" s="106"/>
      <c r="P829" s="106"/>
      <c r="Q829" s="106"/>
      <c r="R829" s="106"/>
      <c r="S829" s="106"/>
    </row>
    <row r="830" spans="1:19" s="105" customFormat="1" ht="112.5">
      <c r="A830" s="106"/>
      <c r="B830" s="194" t="s">
        <v>149</v>
      </c>
      <c r="C830" s="139"/>
      <c r="D830" s="140"/>
      <c r="E830" s="139">
        <v>2.3965999999999998</v>
      </c>
      <c r="F830" s="139"/>
      <c r="G830" s="140"/>
      <c r="H830" s="139">
        <v>3.2888000000000002</v>
      </c>
      <c r="I830" s="141">
        <f t="shared" si="33"/>
        <v>0.89220000000000033</v>
      </c>
      <c r="J830" s="142">
        <f t="shared" si="34"/>
        <v>27.128435903673079</v>
      </c>
      <c r="K830" s="175" t="s">
        <v>209</v>
      </c>
      <c r="N830" s="106"/>
      <c r="O830" s="106"/>
      <c r="P830" s="106"/>
      <c r="Q830" s="106"/>
      <c r="R830" s="106"/>
      <c r="S830" s="106"/>
    </row>
    <row r="831" spans="1:19" s="105" customFormat="1">
      <c r="A831" s="106"/>
      <c r="B831" s="175" t="s">
        <v>43</v>
      </c>
      <c r="C831" s="139"/>
      <c r="D831" s="140"/>
      <c r="E831" s="139">
        <f>SUM(E833:E847)</f>
        <v>6.0819000000000001</v>
      </c>
      <c r="F831" s="139"/>
      <c r="G831" s="140"/>
      <c r="H831" s="139">
        <f>SUM(H833:H859)</f>
        <v>7.7110999999999992</v>
      </c>
      <c r="I831" s="141">
        <f t="shared" si="33"/>
        <v>1.6291999999999991</v>
      </c>
      <c r="J831" s="142">
        <f t="shared" si="34"/>
        <v>21.127984334271364</v>
      </c>
      <c r="K831" s="143"/>
      <c r="N831" s="106"/>
      <c r="O831" s="106"/>
      <c r="P831" s="106"/>
      <c r="Q831" s="106"/>
      <c r="R831" s="106"/>
      <c r="S831" s="106"/>
    </row>
    <row r="832" spans="1:19" s="105" customFormat="1">
      <c r="A832" s="106"/>
      <c r="B832" s="175" t="s">
        <v>19</v>
      </c>
      <c r="C832" s="139"/>
      <c r="D832" s="140"/>
      <c r="E832" s="139"/>
      <c r="F832" s="139"/>
      <c r="G832" s="140"/>
      <c r="H832" s="139"/>
      <c r="I832" s="141"/>
      <c r="J832" s="142"/>
      <c r="K832" s="143"/>
      <c r="N832" s="106"/>
      <c r="O832" s="106"/>
      <c r="P832" s="106"/>
      <c r="Q832" s="106"/>
      <c r="R832" s="106"/>
      <c r="S832" s="106"/>
    </row>
    <row r="833" spans="1:19" s="105" customFormat="1" ht="120.75" customHeight="1">
      <c r="A833" s="106"/>
      <c r="B833" s="194" t="s">
        <v>85</v>
      </c>
      <c r="C833" s="139"/>
      <c r="D833" s="140"/>
      <c r="E833" s="139">
        <v>1</v>
      </c>
      <c r="F833" s="139"/>
      <c r="G833" s="140"/>
      <c r="H833" s="139">
        <v>1</v>
      </c>
      <c r="I833" s="141">
        <f t="shared" ref="I833:I896" si="35">+H833-E833</f>
        <v>0</v>
      </c>
      <c r="J833" s="142">
        <f t="shared" ref="J833:J896" si="36">+I833*100/H833</f>
        <v>0</v>
      </c>
      <c r="K833" s="175" t="s">
        <v>212</v>
      </c>
      <c r="N833" s="106"/>
      <c r="O833" s="106"/>
      <c r="P833" s="106"/>
      <c r="Q833" s="106"/>
      <c r="R833" s="106"/>
      <c r="S833" s="106"/>
    </row>
    <row r="834" spans="1:19" s="105" customFormat="1" ht="56.25">
      <c r="A834" s="106"/>
      <c r="B834" s="194" t="s">
        <v>151</v>
      </c>
      <c r="C834" s="139"/>
      <c r="D834" s="140"/>
      <c r="E834" s="139">
        <v>0.25</v>
      </c>
      <c r="F834" s="139"/>
      <c r="G834" s="140"/>
      <c r="H834" s="139">
        <v>0.25</v>
      </c>
      <c r="I834" s="141">
        <f t="shared" si="35"/>
        <v>0</v>
      </c>
      <c r="J834" s="142">
        <f t="shared" si="36"/>
        <v>0</v>
      </c>
      <c r="K834" s="175" t="s">
        <v>213</v>
      </c>
      <c r="N834" s="106"/>
      <c r="O834" s="106"/>
      <c r="P834" s="106"/>
      <c r="Q834" s="106"/>
      <c r="R834" s="106"/>
      <c r="S834" s="106"/>
    </row>
    <row r="835" spans="1:19" s="105" customFormat="1" ht="37.5">
      <c r="A835" s="106"/>
      <c r="B835" s="194" t="s">
        <v>150</v>
      </c>
      <c r="C835" s="139"/>
      <c r="D835" s="140"/>
      <c r="E835" s="139">
        <v>0.2</v>
      </c>
      <c r="F835" s="139"/>
      <c r="G835" s="140"/>
      <c r="H835" s="139">
        <v>0.2</v>
      </c>
      <c r="I835" s="141">
        <f t="shared" si="35"/>
        <v>0</v>
      </c>
      <c r="J835" s="142">
        <f t="shared" si="36"/>
        <v>0</v>
      </c>
      <c r="K835" s="175" t="s">
        <v>214</v>
      </c>
      <c r="N835" s="106"/>
      <c r="O835" s="106"/>
      <c r="P835" s="106"/>
      <c r="Q835" s="106"/>
      <c r="R835" s="106"/>
      <c r="S835" s="106"/>
    </row>
    <row r="836" spans="1:19" s="105" customFormat="1" ht="93.75">
      <c r="A836" s="106"/>
      <c r="B836" s="194" t="s">
        <v>152</v>
      </c>
      <c r="C836" s="139"/>
      <c r="D836" s="140"/>
      <c r="E836" s="139">
        <v>0.3</v>
      </c>
      <c r="F836" s="139"/>
      <c r="G836" s="140"/>
      <c r="H836" s="139">
        <v>0.3</v>
      </c>
      <c r="I836" s="141">
        <f t="shared" si="35"/>
        <v>0</v>
      </c>
      <c r="J836" s="142">
        <f t="shared" si="36"/>
        <v>0</v>
      </c>
      <c r="K836" s="175" t="s">
        <v>234</v>
      </c>
      <c r="N836" s="106"/>
      <c r="O836" s="106"/>
      <c r="P836" s="106"/>
      <c r="Q836" s="106"/>
      <c r="R836" s="106"/>
      <c r="S836" s="106"/>
    </row>
    <row r="837" spans="1:19" s="105" customFormat="1" ht="93.75">
      <c r="A837" s="106"/>
      <c r="B837" s="194" t="s">
        <v>153</v>
      </c>
      <c r="C837" s="139"/>
      <c r="D837" s="140"/>
      <c r="E837" s="139">
        <v>8.0000000000000002E-3</v>
      </c>
      <c r="F837" s="139"/>
      <c r="G837" s="140"/>
      <c r="H837" s="139">
        <v>8.0000000000000002E-3</v>
      </c>
      <c r="I837" s="141">
        <f t="shared" si="35"/>
        <v>0</v>
      </c>
      <c r="J837" s="142">
        <f t="shared" si="36"/>
        <v>0</v>
      </c>
      <c r="K837" s="175" t="s">
        <v>215</v>
      </c>
      <c r="N837" s="106"/>
      <c r="O837" s="106"/>
      <c r="P837" s="106"/>
      <c r="Q837" s="106"/>
      <c r="R837" s="106"/>
      <c r="S837" s="106"/>
    </row>
    <row r="838" spans="1:19" s="105" customFormat="1" ht="131.25">
      <c r="A838" s="106"/>
      <c r="B838" s="194" t="s">
        <v>229</v>
      </c>
      <c r="C838" s="139"/>
      <c r="D838" s="140"/>
      <c r="E838" s="139">
        <v>1.825</v>
      </c>
      <c r="F838" s="139"/>
      <c r="G838" s="140"/>
      <c r="H838" s="139">
        <f>2.8604+0.4284</f>
        <v>3.2887999999999997</v>
      </c>
      <c r="I838" s="141">
        <f t="shared" si="35"/>
        <v>1.4637999999999998</v>
      </c>
      <c r="J838" s="142">
        <f t="shared" si="36"/>
        <v>44.508635368523464</v>
      </c>
      <c r="K838" s="175" t="s">
        <v>217</v>
      </c>
      <c r="N838" s="106"/>
      <c r="O838" s="106"/>
      <c r="P838" s="106"/>
      <c r="Q838" s="106"/>
      <c r="R838" s="106"/>
      <c r="S838" s="106"/>
    </row>
    <row r="839" spans="1:19" s="105" customFormat="1" ht="131.25">
      <c r="A839" s="106"/>
      <c r="B839" s="194"/>
      <c r="C839" s="139"/>
      <c r="D839" s="140"/>
      <c r="E839" s="139"/>
      <c r="F839" s="139"/>
      <c r="G839" s="140"/>
      <c r="H839" s="139"/>
      <c r="I839" s="141">
        <f t="shared" si="35"/>
        <v>0</v>
      </c>
      <c r="J839" s="142">
        <v>0</v>
      </c>
      <c r="K839" s="175" t="s">
        <v>216</v>
      </c>
      <c r="N839" s="106"/>
      <c r="O839" s="106"/>
      <c r="P839" s="106"/>
      <c r="Q839" s="106"/>
      <c r="R839" s="106"/>
      <c r="S839" s="106"/>
    </row>
    <row r="840" spans="1:19" ht="93.75">
      <c r="B840" s="194"/>
      <c r="C840" s="139"/>
      <c r="D840" s="140"/>
      <c r="E840" s="139"/>
      <c r="F840" s="139"/>
      <c r="G840" s="140"/>
      <c r="H840" s="139"/>
      <c r="I840" s="141"/>
      <c r="J840" s="142"/>
      <c r="K840" s="175" t="s">
        <v>218</v>
      </c>
    </row>
    <row r="841" spans="1:19" ht="150">
      <c r="B841" s="194"/>
      <c r="C841" s="139"/>
      <c r="D841" s="140"/>
      <c r="E841" s="139"/>
      <c r="F841" s="139"/>
      <c r="G841" s="140"/>
      <c r="H841" s="139"/>
      <c r="I841" s="141"/>
      <c r="J841" s="142"/>
      <c r="K841" s="175" t="s">
        <v>219</v>
      </c>
    </row>
    <row r="842" spans="1:19" ht="112.5">
      <c r="B842" s="194"/>
      <c r="C842" s="139"/>
      <c r="D842" s="140"/>
      <c r="E842" s="139"/>
      <c r="F842" s="139"/>
      <c r="G842" s="140"/>
      <c r="H842" s="139"/>
      <c r="I842" s="141"/>
      <c r="J842" s="142"/>
      <c r="K842" s="175" t="s">
        <v>397</v>
      </c>
      <c r="L842" s="195"/>
      <c r="M842" s="352"/>
      <c r="N842" s="352"/>
      <c r="O842" s="352"/>
    </row>
    <row r="843" spans="1:19" ht="37.5">
      <c r="B843" s="194" t="s">
        <v>230</v>
      </c>
      <c r="C843" s="139"/>
      <c r="D843" s="140"/>
      <c r="E843" s="139"/>
      <c r="F843" s="139"/>
      <c r="G843" s="140"/>
      <c r="H843" s="139">
        <v>0.30030000000000001</v>
      </c>
      <c r="I843" s="141">
        <f t="shared" si="35"/>
        <v>0.30030000000000001</v>
      </c>
      <c r="J843" s="142">
        <f t="shared" si="36"/>
        <v>100</v>
      </c>
      <c r="K843" s="175" t="s">
        <v>396</v>
      </c>
      <c r="L843" s="195"/>
      <c r="M843" s="79"/>
      <c r="N843" s="293"/>
      <c r="O843" s="293"/>
    </row>
    <row r="844" spans="1:19" ht="40.5">
      <c r="B844" s="175" t="s">
        <v>69</v>
      </c>
      <c r="C844" s="139"/>
      <c r="D844" s="140"/>
      <c r="E844" s="139"/>
      <c r="F844" s="139"/>
      <c r="G844" s="140"/>
      <c r="H844" s="139"/>
      <c r="I844" s="141"/>
      <c r="J844" s="142"/>
      <c r="K844" s="143"/>
      <c r="L844" s="195"/>
      <c r="M844" s="79"/>
      <c r="N844" s="293"/>
      <c r="O844" s="293"/>
    </row>
    <row r="845" spans="1:19" ht="19.5">
      <c r="B845" s="194" t="s">
        <v>2</v>
      </c>
      <c r="C845" s="139"/>
      <c r="D845" s="140"/>
      <c r="E845" s="139"/>
      <c r="F845" s="139"/>
      <c r="G845" s="140"/>
      <c r="H845" s="139"/>
      <c r="I845" s="141"/>
      <c r="J845" s="142"/>
      <c r="K845" s="143"/>
      <c r="L845" s="195"/>
      <c r="M845" s="79"/>
      <c r="N845" s="293"/>
      <c r="O845" s="293"/>
    </row>
    <row r="846" spans="1:19">
      <c r="B846" s="194" t="s">
        <v>3</v>
      </c>
      <c r="C846" s="139"/>
      <c r="D846" s="140"/>
      <c r="E846" s="139"/>
      <c r="F846" s="139"/>
      <c r="G846" s="140"/>
      <c r="H846" s="139"/>
      <c r="I846" s="141"/>
      <c r="J846" s="142"/>
      <c r="K846" s="143"/>
    </row>
    <row r="847" spans="1:19">
      <c r="B847" s="194" t="s">
        <v>398</v>
      </c>
      <c r="C847" s="139"/>
      <c r="D847" s="140"/>
      <c r="E847" s="139">
        <v>2.4988999999999999</v>
      </c>
      <c r="F847" s="139"/>
      <c r="G847" s="140"/>
      <c r="H847" s="139">
        <v>2.3639999999999999</v>
      </c>
      <c r="I847" s="141">
        <f t="shared" si="35"/>
        <v>-0.13490000000000002</v>
      </c>
      <c r="J847" s="142">
        <f t="shared" si="36"/>
        <v>-5.7064297800338419</v>
      </c>
      <c r="K847" s="143" t="s">
        <v>228</v>
      </c>
    </row>
    <row r="848" spans="1:19">
      <c r="B848" s="194"/>
      <c r="C848" s="139"/>
      <c r="D848" s="140"/>
      <c r="E848" s="139"/>
      <c r="F848" s="139"/>
      <c r="G848" s="140"/>
      <c r="H848" s="139"/>
      <c r="I848" s="141"/>
      <c r="J848" s="142"/>
      <c r="K848" s="143" t="s">
        <v>221</v>
      </c>
    </row>
    <row r="849" spans="1:19">
      <c r="B849" s="194"/>
      <c r="C849" s="139"/>
      <c r="D849" s="140"/>
      <c r="E849" s="139"/>
      <c r="F849" s="139"/>
      <c r="G849" s="140"/>
      <c r="H849" s="139"/>
      <c r="I849" s="141"/>
      <c r="J849" s="142"/>
      <c r="K849" s="143" t="s">
        <v>220</v>
      </c>
    </row>
    <row r="850" spans="1:19">
      <c r="B850" s="194"/>
      <c r="C850" s="139"/>
      <c r="D850" s="140"/>
      <c r="E850" s="139"/>
      <c r="F850" s="139"/>
      <c r="G850" s="140"/>
      <c r="H850" s="139"/>
      <c r="I850" s="141"/>
      <c r="J850" s="142"/>
      <c r="K850" s="143" t="s">
        <v>222</v>
      </c>
    </row>
    <row r="851" spans="1:19">
      <c r="B851" s="194"/>
      <c r="C851" s="139"/>
      <c r="D851" s="140"/>
      <c r="E851" s="139"/>
      <c r="F851" s="139"/>
      <c r="G851" s="140"/>
      <c r="H851" s="139"/>
      <c r="I851" s="141"/>
      <c r="J851" s="142"/>
      <c r="K851" s="143" t="s">
        <v>223</v>
      </c>
    </row>
    <row r="852" spans="1:19">
      <c r="B852" s="194"/>
      <c r="C852" s="139"/>
      <c r="D852" s="140"/>
      <c r="E852" s="139"/>
      <c r="F852" s="139"/>
      <c r="G852" s="140"/>
      <c r="H852" s="139"/>
      <c r="I852" s="141"/>
      <c r="J852" s="142"/>
      <c r="K852" s="143" t="s">
        <v>224</v>
      </c>
    </row>
    <row r="853" spans="1:19">
      <c r="B853" s="194"/>
      <c r="C853" s="139"/>
      <c r="D853" s="140"/>
      <c r="E853" s="139"/>
      <c r="F853" s="139"/>
      <c r="G853" s="140"/>
      <c r="H853" s="139"/>
      <c r="I853" s="141"/>
      <c r="J853" s="142"/>
      <c r="K853" s="143" t="s">
        <v>225</v>
      </c>
    </row>
    <row r="854" spans="1:19">
      <c r="B854" s="194"/>
      <c r="C854" s="139"/>
      <c r="D854" s="140"/>
      <c r="E854" s="139"/>
      <c r="F854" s="139"/>
      <c r="G854" s="140"/>
      <c r="H854" s="139"/>
      <c r="I854" s="141"/>
      <c r="J854" s="142"/>
      <c r="K854" s="143" t="s">
        <v>226</v>
      </c>
    </row>
    <row r="855" spans="1:19">
      <c r="B855" s="194"/>
      <c r="C855" s="139"/>
      <c r="D855" s="140"/>
      <c r="E855" s="139"/>
      <c r="F855" s="139"/>
      <c r="G855" s="140"/>
      <c r="H855" s="139"/>
      <c r="I855" s="141"/>
      <c r="J855" s="142"/>
      <c r="K855" s="143" t="s">
        <v>227</v>
      </c>
    </row>
    <row r="856" spans="1:19" s="105" customFormat="1">
      <c r="A856" s="106"/>
      <c r="B856" s="175" t="s">
        <v>22</v>
      </c>
      <c r="C856" s="139"/>
      <c r="D856" s="140"/>
      <c r="E856" s="139"/>
      <c r="F856" s="139"/>
      <c r="G856" s="140"/>
      <c r="H856" s="139"/>
      <c r="I856" s="141"/>
      <c r="J856" s="142"/>
      <c r="K856" s="143"/>
      <c r="N856" s="106"/>
      <c r="O856" s="106"/>
      <c r="P856" s="106"/>
      <c r="Q856" s="106"/>
      <c r="R856" s="106"/>
      <c r="S856" s="106"/>
    </row>
    <row r="857" spans="1:19" s="105" customFormat="1">
      <c r="A857" s="106"/>
      <c r="B857" s="194" t="s">
        <v>21</v>
      </c>
      <c r="C857" s="139"/>
      <c r="D857" s="140"/>
      <c r="E857" s="139"/>
      <c r="F857" s="139"/>
      <c r="G857" s="140"/>
      <c r="H857" s="139"/>
      <c r="I857" s="141"/>
      <c r="J857" s="142"/>
      <c r="K857" s="143"/>
      <c r="N857" s="106"/>
      <c r="O857" s="106"/>
      <c r="P857" s="106"/>
      <c r="Q857" s="106"/>
      <c r="R857" s="106"/>
      <c r="S857" s="106"/>
    </row>
    <row r="858" spans="1:19" s="105" customFormat="1">
      <c r="A858" s="106"/>
      <c r="B858" s="175" t="s">
        <v>20</v>
      </c>
      <c r="C858" s="139"/>
      <c r="D858" s="140"/>
      <c r="E858" s="139"/>
      <c r="F858" s="139"/>
      <c r="G858" s="140"/>
      <c r="H858" s="139"/>
      <c r="I858" s="141"/>
      <c r="J858" s="142"/>
      <c r="K858" s="143"/>
      <c r="N858" s="106"/>
      <c r="O858" s="106"/>
      <c r="P858" s="106"/>
      <c r="Q858" s="106"/>
      <c r="R858" s="106"/>
      <c r="S858" s="106"/>
    </row>
    <row r="859" spans="1:19" s="105" customFormat="1">
      <c r="A859" s="106"/>
      <c r="B859" s="194" t="s">
        <v>17</v>
      </c>
      <c r="C859" s="139"/>
      <c r="D859" s="140"/>
      <c r="E859" s="139"/>
      <c r="F859" s="139"/>
      <c r="G859" s="140"/>
      <c r="H859" s="139"/>
      <c r="I859" s="141"/>
      <c r="J859" s="142"/>
      <c r="K859" s="143"/>
      <c r="N859" s="106"/>
      <c r="O859" s="106"/>
      <c r="P859" s="106"/>
      <c r="Q859" s="106"/>
      <c r="R859" s="106"/>
      <c r="S859" s="106"/>
    </row>
    <row r="860" spans="1:19" s="105" customFormat="1">
      <c r="A860" s="106"/>
      <c r="B860" s="175" t="s">
        <v>44</v>
      </c>
      <c r="C860" s="139"/>
      <c r="D860" s="140"/>
      <c r="E860" s="139">
        <f>SUM(E861:E863)</f>
        <v>0.75</v>
      </c>
      <c r="F860" s="139"/>
      <c r="G860" s="140"/>
      <c r="H860" s="139">
        <f>SUM(H861:H863)</f>
        <v>1.1638999999999999</v>
      </c>
      <c r="I860" s="141">
        <f t="shared" si="35"/>
        <v>0.41389999999999993</v>
      </c>
      <c r="J860" s="142">
        <f t="shared" si="36"/>
        <v>35.561474353466792</v>
      </c>
      <c r="K860" s="143"/>
      <c r="N860" s="106"/>
      <c r="O860" s="106"/>
      <c r="P860" s="106"/>
      <c r="Q860" s="106"/>
      <c r="R860" s="106"/>
      <c r="S860" s="106"/>
    </row>
    <row r="861" spans="1:19" s="105" customFormat="1" ht="37.5">
      <c r="A861" s="106"/>
      <c r="B861" s="194" t="s">
        <v>90</v>
      </c>
      <c r="C861" s="139"/>
      <c r="D861" s="140"/>
      <c r="E861" s="139">
        <v>0.4</v>
      </c>
      <c r="F861" s="139"/>
      <c r="G861" s="140"/>
      <c r="H861" s="139">
        <v>0.81389999999999996</v>
      </c>
      <c r="I861" s="141">
        <f t="shared" si="35"/>
        <v>0.41389999999999993</v>
      </c>
      <c r="J861" s="142">
        <f t="shared" si="36"/>
        <v>50.853913257156897</v>
      </c>
      <c r="K861" s="175" t="s">
        <v>231</v>
      </c>
      <c r="N861" s="106"/>
      <c r="O861" s="106"/>
      <c r="P861" s="106"/>
      <c r="Q861" s="106"/>
      <c r="R861" s="106"/>
      <c r="S861" s="106"/>
    </row>
    <row r="862" spans="1:19" s="105" customFormat="1" ht="37.5">
      <c r="A862" s="106"/>
      <c r="B862" s="194" t="s">
        <v>91</v>
      </c>
      <c r="C862" s="139"/>
      <c r="D862" s="140"/>
      <c r="E862" s="139">
        <v>0.25</v>
      </c>
      <c r="F862" s="139"/>
      <c r="G862" s="140"/>
      <c r="H862" s="139">
        <v>0.25</v>
      </c>
      <c r="I862" s="141">
        <f t="shared" si="35"/>
        <v>0</v>
      </c>
      <c r="J862" s="142">
        <f t="shared" si="36"/>
        <v>0</v>
      </c>
      <c r="K862" s="175" t="s">
        <v>232</v>
      </c>
      <c r="N862" s="106"/>
      <c r="O862" s="106"/>
      <c r="P862" s="106"/>
      <c r="Q862" s="106"/>
      <c r="R862" s="106"/>
      <c r="S862" s="106"/>
    </row>
    <row r="863" spans="1:19" s="105" customFormat="1" ht="56.25">
      <c r="A863" s="106"/>
      <c r="B863" s="194" t="s">
        <v>135</v>
      </c>
      <c r="C863" s="139"/>
      <c r="D863" s="140"/>
      <c r="E863" s="139">
        <v>0.1</v>
      </c>
      <c r="F863" s="139"/>
      <c r="G863" s="140"/>
      <c r="H863" s="139">
        <v>0.1</v>
      </c>
      <c r="I863" s="141">
        <f t="shared" si="35"/>
        <v>0</v>
      </c>
      <c r="J863" s="142">
        <f t="shared" si="36"/>
        <v>0</v>
      </c>
      <c r="K863" s="175" t="s">
        <v>233</v>
      </c>
      <c r="N863" s="106"/>
      <c r="O863" s="106"/>
      <c r="P863" s="106"/>
      <c r="Q863" s="106"/>
      <c r="R863" s="106"/>
      <c r="S863" s="106"/>
    </row>
    <row r="864" spans="1:19" s="105" customFormat="1">
      <c r="A864" s="106"/>
      <c r="B864" s="175" t="s">
        <v>45</v>
      </c>
      <c r="C864" s="139"/>
      <c r="D864" s="140"/>
      <c r="E864" s="139">
        <f>SUM(E865:E869)</f>
        <v>0</v>
      </c>
      <c r="F864" s="139"/>
      <c r="G864" s="140"/>
      <c r="H864" s="139">
        <f>SUM(H865:H869)</f>
        <v>0</v>
      </c>
      <c r="I864" s="141"/>
      <c r="J864" s="142"/>
      <c r="K864" s="143"/>
      <c r="N864" s="106"/>
      <c r="O864" s="106"/>
      <c r="P864" s="106"/>
      <c r="Q864" s="106"/>
      <c r="R864" s="106"/>
      <c r="S864" s="106"/>
    </row>
    <row r="865" spans="1:19" s="105" customFormat="1">
      <c r="A865" s="106"/>
      <c r="B865" s="194" t="s">
        <v>106</v>
      </c>
      <c r="C865" s="139"/>
      <c r="D865" s="140"/>
      <c r="E865" s="139"/>
      <c r="F865" s="139"/>
      <c r="G865" s="140"/>
      <c r="H865" s="139"/>
      <c r="I865" s="139"/>
      <c r="J865" s="139"/>
      <c r="K865" s="143"/>
      <c r="N865" s="106"/>
      <c r="O865" s="106"/>
      <c r="P865" s="106"/>
      <c r="Q865" s="106"/>
      <c r="R865" s="106"/>
      <c r="S865" s="106"/>
    </row>
    <row r="866" spans="1:19" s="105" customFormat="1">
      <c r="A866" s="106"/>
      <c r="B866" s="194" t="s">
        <v>107</v>
      </c>
      <c r="C866" s="139"/>
      <c r="D866" s="140"/>
      <c r="E866" s="139"/>
      <c r="F866" s="139"/>
      <c r="G866" s="140"/>
      <c r="H866" s="139"/>
      <c r="I866" s="139"/>
      <c r="J866" s="139"/>
      <c r="K866" s="143"/>
      <c r="N866" s="106"/>
      <c r="O866" s="106"/>
      <c r="P866" s="106"/>
      <c r="Q866" s="106"/>
      <c r="R866" s="106"/>
      <c r="S866" s="106"/>
    </row>
    <row r="867" spans="1:19" s="105" customFormat="1">
      <c r="A867" s="106"/>
      <c r="B867" s="194" t="s">
        <v>108</v>
      </c>
      <c r="C867" s="139"/>
      <c r="D867" s="140"/>
      <c r="E867" s="139"/>
      <c r="F867" s="139"/>
      <c r="G867" s="140"/>
      <c r="H867" s="139"/>
      <c r="I867" s="139"/>
      <c r="J867" s="139"/>
      <c r="K867" s="143"/>
      <c r="N867" s="106"/>
      <c r="O867" s="106"/>
      <c r="P867" s="106"/>
      <c r="Q867" s="106"/>
      <c r="R867" s="106"/>
      <c r="S867" s="106"/>
    </row>
    <row r="868" spans="1:19" s="105" customFormat="1">
      <c r="A868" s="106"/>
      <c r="B868" s="194" t="s">
        <v>109</v>
      </c>
      <c r="C868" s="139"/>
      <c r="D868" s="140"/>
      <c r="E868" s="139"/>
      <c r="F868" s="139"/>
      <c r="G868" s="140"/>
      <c r="H868" s="139"/>
      <c r="I868" s="139"/>
      <c r="J868" s="139"/>
      <c r="K868" s="143"/>
      <c r="N868" s="106"/>
      <c r="O868" s="106"/>
      <c r="P868" s="106"/>
      <c r="Q868" s="106"/>
      <c r="R868" s="106"/>
      <c r="S868" s="106"/>
    </row>
    <row r="869" spans="1:19" s="105" customFormat="1">
      <c r="A869" s="106"/>
      <c r="B869" s="194" t="s">
        <v>111</v>
      </c>
      <c r="C869" s="139"/>
      <c r="D869" s="140"/>
      <c r="E869" s="139"/>
      <c r="F869" s="139"/>
      <c r="G869" s="140"/>
      <c r="H869" s="139"/>
      <c r="I869" s="139"/>
      <c r="J869" s="139"/>
      <c r="K869" s="143"/>
      <c r="N869" s="106"/>
      <c r="O869" s="106"/>
      <c r="P869" s="106"/>
      <c r="Q869" s="106"/>
      <c r="R869" s="106"/>
      <c r="S869" s="106"/>
    </row>
    <row r="870" spans="1:19" s="105" customFormat="1">
      <c r="A870" s="106"/>
      <c r="B870" s="175" t="s">
        <v>46</v>
      </c>
      <c r="C870" s="139"/>
      <c r="D870" s="140"/>
      <c r="E870" s="139">
        <f>+E871+E882</f>
        <v>0.26400000000000001</v>
      </c>
      <c r="F870" s="139"/>
      <c r="G870" s="140"/>
      <c r="H870" s="139">
        <f>+H871+H882</f>
        <v>0.67359999999999998</v>
      </c>
      <c r="I870" s="141">
        <f t="shared" si="35"/>
        <v>0.40959999999999996</v>
      </c>
      <c r="J870" s="142">
        <f t="shared" si="36"/>
        <v>60.807600950118754</v>
      </c>
      <c r="K870" s="143"/>
      <c r="N870" s="106"/>
      <c r="O870" s="106"/>
      <c r="P870" s="106"/>
      <c r="Q870" s="106"/>
      <c r="R870" s="106"/>
      <c r="S870" s="106"/>
    </row>
    <row r="871" spans="1:19" s="105" customFormat="1">
      <c r="A871" s="106"/>
      <c r="B871" s="175" t="s">
        <v>47</v>
      </c>
      <c r="C871" s="139"/>
      <c r="D871" s="140"/>
      <c r="E871" s="139">
        <f>+E873</f>
        <v>0.26400000000000001</v>
      </c>
      <c r="F871" s="139"/>
      <c r="G871" s="140"/>
      <c r="H871" s="139">
        <f>+H873</f>
        <v>0.67359999999999998</v>
      </c>
      <c r="I871" s="141">
        <f t="shared" si="35"/>
        <v>0.40959999999999996</v>
      </c>
      <c r="J871" s="142">
        <f t="shared" si="36"/>
        <v>60.807600950118754</v>
      </c>
      <c r="K871" s="143"/>
      <c r="N871" s="106"/>
      <c r="O871" s="106"/>
      <c r="P871" s="106"/>
      <c r="Q871" s="106"/>
      <c r="R871" s="106"/>
      <c r="S871" s="106"/>
    </row>
    <row r="872" spans="1:19" s="105" customFormat="1">
      <c r="A872" s="106"/>
      <c r="B872" s="175" t="s">
        <v>19</v>
      </c>
      <c r="C872" s="139"/>
      <c r="D872" s="140"/>
      <c r="E872" s="139"/>
      <c r="F872" s="139"/>
      <c r="G872" s="140"/>
      <c r="H872" s="139"/>
      <c r="I872" s="139"/>
      <c r="J872" s="139"/>
      <c r="K872" s="143"/>
      <c r="N872" s="106"/>
      <c r="O872" s="106"/>
      <c r="P872" s="106"/>
      <c r="Q872" s="106"/>
      <c r="R872" s="106"/>
      <c r="S872" s="106"/>
    </row>
    <row r="873" spans="1:19" s="105" customFormat="1">
      <c r="A873" s="106"/>
      <c r="B873" s="175" t="s">
        <v>110</v>
      </c>
      <c r="C873" s="139"/>
      <c r="D873" s="140"/>
      <c r="E873" s="139">
        <v>0.26400000000000001</v>
      </c>
      <c r="F873" s="139"/>
      <c r="G873" s="140"/>
      <c r="H873" s="139">
        <v>0.67359999999999998</v>
      </c>
      <c r="I873" s="141">
        <f t="shared" si="35"/>
        <v>0.40959999999999996</v>
      </c>
      <c r="J873" s="142">
        <f t="shared" si="36"/>
        <v>60.807600950118754</v>
      </c>
      <c r="K873" s="143"/>
      <c r="N873" s="106"/>
      <c r="O873" s="106"/>
      <c r="P873" s="106"/>
      <c r="Q873" s="106"/>
      <c r="R873" s="106"/>
      <c r="S873" s="106"/>
    </row>
    <row r="874" spans="1:19" s="105" customFormat="1">
      <c r="A874" s="106"/>
      <c r="B874" s="194" t="s">
        <v>17</v>
      </c>
      <c r="C874" s="139"/>
      <c r="D874" s="140"/>
      <c r="E874" s="139"/>
      <c r="F874" s="139"/>
      <c r="G874" s="140"/>
      <c r="H874" s="139"/>
      <c r="I874" s="141"/>
      <c r="J874" s="142"/>
      <c r="K874" s="143"/>
      <c r="N874" s="106"/>
      <c r="O874" s="106"/>
      <c r="P874" s="106"/>
      <c r="Q874" s="106"/>
      <c r="R874" s="106"/>
      <c r="S874" s="106"/>
    </row>
    <row r="875" spans="1:19" s="105" customFormat="1">
      <c r="A875" s="106"/>
      <c r="B875" s="194" t="s">
        <v>18</v>
      </c>
      <c r="C875" s="139"/>
      <c r="D875" s="140"/>
      <c r="E875" s="139"/>
      <c r="F875" s="139"/>
      <c r="G875" s="140"/>
      <c r="H875" s="139"/>
      <c r="I875" s="141"/>
      <c r="J875" s="142"/>
      <c r="K875" s="143"/>
      <c r="N875" s="106"/>
      <c r="O875" s="106"/>
      <c r="P875" s="106"/>
      <c r="Q875" s="106"/>
      <c r="R875" s="106"/>
      <c r="S875" s="106"/>
    </row>
    <row r="876" spans="1:19" s="105" customFormat="1">
      <c r="A876" s="106"/>
      <c r="B876" s="175" t="s">
        <v>22</v>
      </c>
      <c r="C876" s="139"/>
      <c r="D876" s="140"/>
      <c r="E876" s="139"/>
      <c r="F876" s="139"/>
      <c r="G876" s="140"/>
      <c r="H876" s="139"/>
      <c r="I876" s="141"/>
      <c r="J876" s="142"/>
      <c r="K876" s="143"/>
      <c r="N876" s="106"/>
      <c r="O876" s="106"/>
      <c r="P876" s="106"/>
      <c r="Q876" s="106"/>
      <c r="R876" s="106"/>
      <c r="S876" s="106"/>
    </row>
    <row r="877" spans="1:19" s="105" customFormat="1">
      <c r="A877" s="106"/>
      <c r="B877" s="175" t="s">
        <v>48</v>
      </c>
      <c r="C877" s="139"/>
      <c r="D877" s="140"/>
      <c r="E877" s="139"/>
      <c r="F877" s="139"/>
      <c r="G877" s="140"/>
      <c r="H877" s="139"/>
      <c r="I877" s="141"/>
      <c r="J877" s="142"/>
      <c r="K877" s="143"/>
      <c r="N877" s="106"/>
      <c r="O877" s="106"/>
      <c r="P877" s="106"/>
      <c r="Q877" s="106"/>
      <c r="R877" s="106"/>
      <c r="S877" s="106"/>
    </row>
    <row r="878" spans="1:19" s="105" customFormat="1">
      <c r="A878" s="106"/>
      <c r="B878" s="194" t="s">
        <v>23</v>
      </c>
      <c r="C878" s="139"/>
      <c r="D878" s="140"/>
      <c r="E878" s="139"/>
      <c r="F878" s="139"/>
      <c r="G878" s="140"/>
      <c r="H878" s="139"/>
      <c r="I878" s="141"/>
      <c r="J878" s="142"/>
      <c r="K878" s="143"/>
      <c r="N878" s="106"/>
      <c r="O878" s="106"/>
      <c r="P878" s="106"/>
      <c r="Q878" s="106"/>
      <c r="R878" s="106"/>
      <c r="S878" s="106"/>
    </row>
    <row r="879" spans="1:19" s="105" customFormat="1">
      <c r="A879" s="106"/>
      <c r="B879" s="175" t="s">
        <v>20</v>
      </c>
      <c r="C879" s="139"/>
      <c r="D879" s="140"/>
      <c r="E879" s="139"/>
      <c r="F879" s="139"/>
      <c r="G879" s="140"/>
      <c r="H879" s="139"/>
      <c r="I879" s="141"/>
      <c r="J879" s="142"/>
      <c r="K879" s="143"/>
      <c r="N879" s="106"/>
      <c r="O879" s="106"/>
      <c r="P879" s="106"/>
      <c r="Q879" s="106"/>
      <c r="R879" s="106"/>
      <c r="S879" s="106"/>
    </row>
    <row r="880" spans="1:19" s="105" customFormat="1">
      <c r="A880" s="106"/>
      <c r="B880" s="175" t="s">
        <v>48</v>
      </c>
      <c r="C880" s="139"/>
      <c r="D880" s="140"/>
      <c r="E880" s="139"/>
      <c r="F880" s="139"/>
      <c r="G880" s="140"/>
      <c r="H880" s="139"/>
      <c r="I880" s="141"/>
      <c r="J880" s="142"/>
      <c r="K880" s="143"/>
      <c r="N880" s="106"/>
      <c r="O880" s="106"/>
      <c r="P880" s="106"/>
      <c r="Q880" s="106"/>
      <c r="R880" s="106"/>
      <c r="S880" s="106"/>
    </row>
    <row r="881" spans="1:19" s="105" customFormat="1">
      <c r="A881" s="106"/>
      <c r="B881" s="194" t="s">
        <v>23</v>
      </c>
      <c r="C881" s="139"/>
      <c r="D881" s="140"/>
      <c r="E881" s="139"/>
      <c r="F881" s="139"/>
      <c r="G881" s="140"/>
      <c r="H881" s="139"/>
      <c r="I881" s="141"/>
      <c r="J881" s="142"/>
      <c r="K881" s="143"/>
      <c r="N881" s="106"/>
      <c r="O881" s="106"/>
      <c r="P881" s="106"/>
      <c r="Q881" s="106"/>
      <c r="R881" s="106"/>
      <c r="S881" s="106"/>
    </row>
    <row r="882" spans="1:19" s="105" customFormat="1">
      <c r="A882" s="106"/>
      <c r="B882" s="175" t="s">
        <v>49</v>
      </c>
      <c r="C882" s="139"/>
      <c r="D882" s="140"/>
      <c r="E882" s="139">
        <f>+E884</f>
        <v>0</v>
      </c>
      <c r="F882" s="139"/>
      <c r="G882" s="140"/>
      <c r="H882" s="139">
        <f>+H884</f>
        <v>0</v>
      </c>
      <c r="I882" s="141"/>
      <c r="J882" s="142"/>
      <c r="K882" s="143"/>
      <c r="N882" s="106"/>
      <c r="O882" s="106"/>
      <c r="P882" s="106"/>
      <c r="Q882" s="106"/>
      <c r="R882" s="106"/>
      <c r="S882" s="106"/>
    </row>
    <row r="883" spans="1:19" s="105" customFormat="1">
      <c r="A883" s="106"/>
      <c r="B883" s="175" t="s">
        <v>19</v>
      </c>
      <c r="C883" s="139"/>
      <c r="D883" s="140"/>
      <c r="E883" s="139"/>
      <c r="F883" s="139"/>
      <c r="G883" s="140"/>
      <c r="H883" s="139"/>
      <c r="I883" s="139"/>
      <c r="J883" s="139"/>
      <c r="K883" s="143"/>
      <c r="N883" s="106"/>
      <c r="O883" s="106"/>
      <c r="P883" s="106"/>
      <c r="Q883" s="106"/>
      <c r="R883" s="106"/>
      <c r="S883" s="106"/>
    </row>
    <row r="884" spans="1:19" s="105" customFormat="1">
      <c r="A884" s="106"/>
      <c r="B884" s="175" t="s">
        <v>50</v>
      </c>
      <c r="C884" s="139"/>
      <c r="D884" s="140"/>
      <c r="E884" s="139"/>
      <c r="F884" s="139"/>
      <c r="G884" s="140"/>
      <c r="H884" s="139"/>
      <c r="I884" s="139"/>
      <c r="J884" s="139"/>
      <c r="K884" s="143"/>
      <c r="N884" s="106"/>
      <c r="O884" s="106"/>
      <c r="P884" s="106"/>
      <c r="Q884" s="106"/>
      <c r="R884" s="106"/>
      <c r="S884" s="106"/>
    </row>
    <row r="885" spans="1:19" s="105" customFormat="1" ht="27.75" customHeight="1">
      <c r="A885" s="106"/>
      <c r="B885" s="194" t="s">
        <v>17</v>
      </c>
      <c r="C885" s="139"/>
      <c r="D885" s="140"/>
      <c r="E885" s="139"/>
      <c r="F885" s="139"/>
      <c r="G885" s="140"/>
      <c r="H885" s="139"/>
      <c r="I885" s="141"/>
      <c r="J885" s="142"/>
      <c r="K885" s="143"/>
      <c r="N885" s="106"/>
      <c r="O885" s="106"/>
      <c r="P885" s="106"/>
      <c r="Q885" s="106"/>
      <c r="R885" s="106"/>
      <c r="S885" s="106"/>
    </row>
    <row r="886" spans="1:19" s="105" customFormat="1" ht="27.75" customHeight="1">
      <c r="A886" s="106"/>
      <c r="B886" s="194" t="s">
        <v>18</v>
      </c>
      <c r="C886" s="139"/>
      <c r="D886" s="140"/>
      <c r="E886" s="139"/>
      <c r="F886" s="139"/>
      <c r="G886" s="140"/>
      <c r="H886" s="139"/>
      <c r="I886" s="141"/>
      <c r="J886" s="142"/>
      <c r="K886" s="143"/>
      <c r="N886" s="106"/>
      <c r="O886" s="106"/>
      <c r="P886" s="106"/>
      <c r="Q886" s="106"/>
      <c r="R886" s="106"/>
      <c r="S886" s="106"/>
    </row>
    <row r="887" spans="1:19" s="105" customFormat="1">
      <c r="A887" s="106"/>
      <c r="B887" s="175" t="s">
        <v>22</v>
      </c>
      <c r="C887" s="139"/>
      <c r="D887" s="140"/>
      <c r="E887" s="139"/>
      <c r="F887" s="139"/>
      <c r="G887" s="140"/>
      <c r="H887" s="139"/>
      <c r="I887" s="141"/>
      <c r="J887" s="142"/>
      <c r="K887" s="143"/>
      <c r="N887" s="106"/>
      <c r="O887" s="106"/>
      <c r="P887" s="106"/>
      <c r="Q887" s="106"/>
      <c r="R887" s="106"/>
      <c r="S887" s="106"/>
    </row>
    <row r="888" spans="1:19" s="105" customFormat="1">
      <c r="A888" s="106"/>
      <c r="B888" s="175" t="s">
        <v>51</v>
      </c>
      <c r="C888" s="139"/>
      <c r="D888" s="140"/>
      <c r="E888" s="139"/>
      <c r="F888" s="139"/>
      <c r="G888" s="140"/>
      <c r="H888" s="139"/>
      <c r="I888" s="141"/>
      <c r="J888" s="142"/>
      <c r="K888" s="143"/>
      <c r="N888" s="106"/>
      <c r="O888" s="106"/>
      <c r="P888" s="106"/>
      <c r="Q888" s="106"/>
      <c r="R888" s="106"/>
      <c r="S888" s="106"/>
    </row>
    <row r="889" spans="1:19" s="105" customFormat="1">
      <c r="A889" s="106"/>
      <c r="B889" s="194" t="s">
        <v>23</v>
      </c>
      <c r="C889" s="139"/>
      <c r="D889" s="140"/>
      <c r="E889" s="139"/>
      <c r="F889" s="139"/>
      <c r="G889" s="140"/>
      <c r="H889" s="139"/>
      <c r="I889" s="141"/>
      <c r="J889" s="142"/>
      <c r="K889" s="143"/>
      <c r="N889" s="106"/>
      <c r="O889" s="106"/>
      <c r="P889" s="106"/>
      <c r="Q889" s="106"/>
      <c r="R889" s="106"/>
      <c r="S889" s="106"/>
    </row>
    <row r="890" spans="1:19" s="105" customFormat="1">
      <c r="A890" s="106"/>
      <c r="B890" s="175" t="s">
        <v>20</v>
      </c>
      <c r="C890" s="139"/>
      <c r="D890" s="140"/>
      <c r="E890" s="139"/>
      <c r="F890" s="139"/>
      <c r="G890" s="140"/>
      <c r="H890" s="139"/>
      <c r="I890" s="141"/>
      <c r="J890" s="142"/>
      <c r="K890" s="143"/>
      <c r="N890" s="106"/>
      <c r="O890" s="106"/>
      <c r="P890" s="106"/>
      <c r="Q890" s="106"/>
      <c r="R890" s="106"/>
      <c r="S890" s="106"/>
    </row>
    <row r="891" spans="1:19" s="105" customFormat="1">
      <c r="A891" s="106"/>
      <c r="B891" s="175" t="s">
        <v>51</v>
      </c>
      <c r="C891" s="139"/>
      <c r="D891" s="140"/>
      <c r="E891" s="139"/>
      <c r="F891" s="139"/>
      <c r="G891" s="140"/>
      <c r="H891" s="139"/>
      <c r="I891" s="141"/>
      <c r="J891" s="142"/>
      <c r="K891" s="143"/>
      <c r="N891" s="106"/>
      <c r="O891" s="106"/>
      <c r="P891" s="106"/>
      <c r="Q891" s="106"/>
      <c r="R891" s="106"/>
      <c r="S891" s="106"/>
    </row>
    <row r="892" spans="1:19" s="105" customFormat="1">
      <c r="A892" s="106"/>
      <c r="B892" s="194" t="s">
        <v>23</v>
      </c>
      <c r="C892" s="139"/>
      <c r="D892" s="140"/>
      <c r="E892" s="139"/>
      <c r="F892" s="139"/>
      <c r="G892" s="140"/>
      <c r="H892" s="139"/>
      <c r="I892" s="141"/>
      <c r="J892" s="142"/>
      <c r="K892" s="143"/>
      <c r="N892" s="106"/>
      <c r="O892" s="106"/>
      <c r="P892" s="106"/>
      <c r="Q892" s="106"/>
      <c r="R892" s="106"/>
      <c r="S892" s="106"/>
    </row>
    <row r="893" spans="1:19" s="105" customFormat="1">
      <c r="A893" s="106"/>
      <c r="B893" s="175" t="s">
        <v>53</v>
      </c>
      <c r="C893" s="139"/>
      <c r="D893" s="140"/>
      <c r="E893" s="139">
        <f>+E895</f>
        <v>113.82</v>
      </c>
      <c r="F893" s="139"/>
      <c r="G893" s="140"/>
      <c r="H893" s="139">
        <f>+H895</f>
        <v>120</v>
      </c>
      <c r="I893" s="141">
        <f t="shared" si="35"/>
        <v>6.1800000000000068</v>
      </c>
      <c r="J893" s="142">
        <f t="shared" si="36"/>
        <v>5.1500000000000057</v>
      </c>
      <c r="K893" s="143"/>
      <c r="N893" s="106"/>
      <c r="O893" s="106"/>
      <c r="P893" s="106"/>
      <c r="Q893" s="106"/>
      <c r="R893" s="106"/>
      <c r="S893" s="106"/>
    </row>
    <row r="894" spans="1:19" s="105" customFormat="1">
      <c r="A894" s="106"/>
      <c r="B894" s="175" t="s">
        <v>52</v>
      </c>
      <c r="C894" s="139"/>
      <c r="D894" s="140"/>
      <c r="E894" s="139"/>
      <c r="F894" s="139"/>
      <c r="G894" s="140"/>
      <c r="H894" s="139"/>
      <c r="I894" s="139"/>
      <c r="J894" s="139"/>
      <c r="K894" s="143"/>
      <c r="N894" s="106"/>
      <c r="O894" s="106"/>
      <c r="P894" s="106"/>
      <c r="Q894" s="106"/>
      <c r="R894" s="106"/>
      <c r="S894" s="106"/>
    </row>
    <row r="895" spans="1:19" s="105" customFormat="1" ht="76.5" customHeight="1">
      <c r="A895" s="106"/>
      <c r="B895" s="175" t="s">
        <v>154</v>
      </c>
      <c r="C895" s="139"/>
      <c r="D895" s="140"/>
      <c r="E895" s="139">
        <v>113.82</v>
      </c>
      <c r="F895" s="139"/>
      <c r="G895" s="140"/>
      <c r="H895" s="139">
        <v>120</v>
      </c>
      <c r="I895" s="141">
        <f t="shared" si="35"/>
        <v>6.1800000000000068</v>
      </c>
      <c r="J895" s="142">
        <f t="shared" si="36"/>
        <v>5.1500000000000057</v>
      </c>
      <c r="K895" s="175" t="s">
        <v>399</v>
      </c>
      <c r="N895" s="106"/>
      <c r="O895" s="106"/>
      <c r="P895" s="106"/>
      <c r="Q895" s="106"/>
      <c r="R895" s="106"/>
      <c r="S895" s="106"/>
    </row>
    <row r="896" spans="1:19" s="105" customFormat="1">
      <c r="A896" s="106"/>
      <c r="B896" s="175" t="s">
        <v>56</v>
      </c>
      <c r="C896" s="139"/>
      <c r="D896" s="140"/>
      <c r="E896" s="139">
        <f>SUM(E897:E897)</f>
        <v>0</v>
      </c>
      <c r="F896" s="139"/>
      <c r="G896" s="140"/>
      <c r="H896" s="139">
        <f>SUM(H897:H897)</f>
        <v>2.3574000000000002</v>
      </c>
      <c r="I896" s="141">
        <f t="shared" si="35"/>
        <v>2.3574000000000002</v>
      </c>
      <c r="J896" s="142">
        <f t="shared" si="36"/>
        <v>100</v>
      </c>
      <c r="K896" s="143"/>
      <c r="N896" s="106"/>
      <c r="O896" s="106"/>
      <c r="P896" s="106"/>
      <c r="Q896" s="106"/>
      <c r="R896" s="106"/>
      <c r="S896" s="106"/>
    </row>
    <row r="897" spans="1:19" s="105" customFormat="1" ht="25.5" customHeight="1">
      <c r="A897" s="106"/>
      <c r="B897" s="175" t="s">
        <v>235</v>
      </c>
      <c r="C897" s="139"/>
      <c r="D897" s="140"/>
      <c r="E897" s="139"/>
      <c r="F897" s="139"/>
      <c r="G897" s="140"/>
      <c r="H897" s="139">
        <v>2.3574000000000002</v>
      </c>
      <c r="I897" s="141">
        <f t="shared" ref="I897:I950" si="37">+H897-E897</f>
        <v>2.3574000000000002</v>
      </c>
      <c r="J897" s="142">
        <f t="shared" ref="J897:J950" si="38">+I897*100/H897</f>
        <v>100</v>
      </c>
      <c r="K897" s="334" t="s">
        <v>242</v>
      </c>
      <c r="N897" s="106"/>
      <c r="O897" s="106"/>
      <c r="P897" s="106"/>
      <c r="Q897" s="106"/>
      <c r="R897" s="106"/>
      <c r="S897" s="106"/>
    </row>
    <row r="898" spans="1:19" s="105" customFormat="1" ht="93.75">
      <c r="A898" s="106"/>
      <c r="B898" s="175" t="s">
        <v>236</v>
      </c>
      <c r="C898" s="139"/>
      <c r="D898" s="140"/>
      <c r="E898" s="139"/>
      <c r="F898" s="139"/>
      <c r="G898" s="140"/>
      <c r="H898" s="139"/>
      <c r="I898" s="141"/>
      <c r="J898" s="142"/>
      <c r="K898" s="175" t="s">
        <v>239</v>
      </c>
      <c r="N898" s="106"/>
      <c r="O898" s="106"/>
      <c r="P898" s="106"/>
      <c r="Q898" s="106"/>
      <c r="R898" s="106"/>
      <c r="S898" s="106"/>
    </row>
    <row r="899" spans="1:19" s="105" customFormat="1" ht="93.75">
      <c r="A899" s="106"/>
      <c r="B899" s="175" t="s">
        <v>237</v>
      </c>
      <c r="C899" s="139"/>
      <c r="D899" s="140"/>
      <c r="E899" s="139"/>
      <c r="F899" s="139"/>
      <c r="G899" s="140"/>
      <c r="H899" s="139"/>
      <c r="I899" s="141"/>
      <c r="J899" s="142"/>
      <c r="K899" s="175" t="s">
        <v>240</v>
      </c>
      <c r="N899" s="106"/>
      <c r="O899" s="106"/>
      <c r="P899" s="106"/>
      <c r="Q899" s="106"/>
      <c r="R899" s="106"/>
      <c r="S899" s="106"/>
    </row>
    <row r="900" spans="1:19" s="105" customFormat="1" ht="37.5">
      <c r="A900" s="106"/>
      <c r="B900" s="175" t="s">
        <v>238</v>
      </c>
      <c r="C900" s="139"/>
      <c r="D900" s="140"/>
      <c r="E900" s="139"/>
      <c r="F900" s="139"/>
      <c r="G900" s="140"/>
      <c r="H900" s="139"/>
      <c r="I900" s="141"/>
      <c r="J900" s="142"/>
      <c r="K900" s="175" t="s">
        <v>241</v>
      </c>
      <c r="N900" s="106"/>
      <c r="O900" s="106"/>
      <c r="P900" s="106"/>
      <c r="Q900" s="106"/>
      <c r="R900" s="106"/>
      <c r="S900" s="106"/>
    </row>
    <row r="901" spans="1:19" s="105" customFormat="1">
      <c r="A901" s="106"/>
      <c r="B901" s="175"/>
      <c r="C901" s="139"/>
      <c r="D901" s="140"/>
      <c r="E901" s="139"/>
      <c r="F901" s="139"/>
      <c r="G901" s="140"/>
      <c r="H901" s="139"/>
      <c r="I901" s="141"/>
      <c r="J901" s="142"/>
      <c r="K901" s="143"/>
      <c r="N901" s="106"/>
      <c r="O901" s="106"/>
      <c r="P901" s="106"/>
      <c r="Q901" s="106"/>
      <c r="R901" s="106"/>
      <c r="S901" s="106"/>
    </row>
    <row r="902" spans="1:19" s="105" customFormat="1" ht="45" customHeight="1">
      <c r="A902" s="106"/>
      <c r="B902" s="286" t="s">
        <v>183</v>
      </c>
      <c r="C902" s="139"/>
      <c r="D902" s="140"/>
      <c r="E902" s="139">
        <f>+E904+E943+E968+E971</f>
        <v>18.815199999999997</v>
      </c>
      <c r="F902" s="139"/>
      <c r="G902" s="140"/>
      <c r="H902" s="139">
        <f>+H904+H943+H968+H971</f>
        <v>47.005299999999998</v>
      </c>
      <c r="I902" s="141">
        <f t="shared" si="37"/>
        <v>28.190100000000001</v>
      </c>
      <c r="J902" s="142">
        <f t="shared" si="38"/>
        <v>59.972173350664718</v>
      </c>
      <c r="K902" s="143"/>
      <c r="N902" s="106"/>
      <c r="O902" s="106"/>
      <c r="P902" s="106"/>
      <c r="Q902" s="106"/>
      <c r="R902" s="106"/>
      <c r="S902" s="106"/>
    </row>
    <row r="903" spans="1:19" s="105" customFormat="1" ht="27.75" customHeight="1">
      <c r="A903" s="106"/>
      <c r="B903" s="245" t="s">
        <v>94</v>
      </c>
      <c r="C903" s="139"/>
      <c r="D903" s="140"/>
      <c r="E903" s="139"/>
      <c r="F903" s="139"/>
      <c r="G903" s="140"/>
      <c r="H903" s="139"/>
      <c r="I903" s="141">
        <f t="shared" si="37"/>
        <v>0</v>
      </c>
      <c r="J903" s="142"/>
      <c r="K903" s="143"/>
      <c r="N903" s="106"/>
      <c r="O903" s="106"/>
      <c r="P903" s="106"/>
      <c r="Q903" s="106"/>
      <c r="R903" s="106"/>
      <c r="S903" s="106"/>
    </row>
    <row r="904" spans="1:19" s="105" customFormat="1">
      <c r="A904" s="106"/>
      <c r="B904" s="175" t="s">
        <v>38</v>
      </c>
      <c r="C904" s="139"/>
      <c r="D904" s="140"/>
      <c r="E904" s="139">
        <f>+E905+E934</f>
        <v>9.7199999999999989</v>
      </c>
      <c r="F904" s="139"/>
      <c r="G904" s="140"/>
      <c r="H904" s="139">
        <f>+H905+H934</f>
        <v>22.671599999999998</v>
      </c>
      <c r="I904" s="141">
        <f t="shared" si="37"/>
        <v>12.951599999999999</v>
      </c>
      <c r="J904" s="142">
        <f t="shared" si="38"/>
        <v>57.126978245911182</v>
      </c>
      <c r="K904" s="143"/>
      <c r="N904" s="106"/>
      <c r="O904" s="106"/>
      <c r="P904" s="106"/>
      <c r="Q904" s="106"/>
      <c r="R904" s="106"/>
      <c r="S904" s="106"/>
    </row>
    <row r="905" spans="1:19" s="105" customFormat="1">
      <c r="A905" s="106"/>
      <c r="B905" s="175" t="s">
        <v>41</v>
      </c>
      <c r="C905" s="139"/>
      <c r="D905" s="140"/>
      <c r="E905" s="139">
        <f>+E906+E910+E930</f>
        <v>6.17</v>
      </c>
      <c r="F905" s="139"/>
      <c r="G905" s="140"/>
      <c r="H905" s="139">
        <f>+H906+H910+H930</f>
        <v>15.385599999999998</v>
      </c>
      <c r="I905" s="141">
        <f t="shared" si="37"/>
        <v>9.2155999999999985</v>
      </c>
      <c r="J905" s="142">
        <f t="shared" si="38"/>
        <v>59.897566555740426</v>
      </c>
      <c r="K905" s="143"/>
      <c r="N905" s="106"/>
      <c r="O905" s="106"/>
      <c r="P905" s="106"/>
      <c r="Q905" s="106"/>
      <c r="R905" s="106"/>
      <c r="S905" s="106"/>
    </row>
    <row r="906" spans="1:19" s="105" customFormat="1">
      <c r="A906" s="106"/>
      <c r="B906" s="175" t="s">
        <v>42</v>
      </c>
      <c r="C906" s="139"/>
      <c r="D906" s="140"/>
      <c r="E906" s="139">
        <f>SUM(E907:E908)</f>
        <v>0</v>
      </c>
      <c r="F906" s="139"/>
      <c r="G906" s="140"/>
      <c r="H906" s="139">
        <f>SUM(H907:H908)</f>
        <v>0</v>
      </c>
      <c r="I906" s="141"/>
      <c r="J906" s="142"/>
      <c r="K906" s="143"/>
      <c r="N906" s="106"/>
      <c r="O906" s="106"/>
      <c r="P906" s="106"/>
      <c r="Q906" s="106"/>
      <c r="R906" s="106"/>
      <c r="S906" s="106"/>
    </row>
    <row r="907" spans="1:19" s="105" customFormat="1">
      <c r="A907" s="106"/>
      <c r="B907" s="194" t="s">
        <v>112</v>
      </c>
      <c r="C907" s="139"/>
      <c r="D907" s="140"/>
      <c r="E907" s="139"/>
      <c r="F907" s="139"/>
      <c r="G907" s="140"/>
      <c r="H907" s="139"/>
      <c r="I907" s="141"/>
      <c r="J907" s="142"/>
      <c r="K907" s="143"/>
      <c r="N907" s="106"/>
      <c r="O907" s="106"/>
      <c r="P907" s="106"/>
      <c r="Q907" s="106"/>
      <c r="R907" s="106"/>
      <c r="S907" s="106"/>
    </row>
    <row r="908" spans="1:19" s="105" customFormat="1">
      <c r="A908" s="106"/>
      <c r="B908" s="194" t="s">
        <v>149</v>
      </c>
      <c r="C908" s="139"/>
      <c r="D908" s="140"/>
      <c r="E908" s="139"/>
      <c r="F908" s="139"/>
      <c r="G908" s="140"/>
      <c r="H908" s="139"/>
      <c r="I908" s="141"/>
      <c r="J908" s="142"/>
      <c r="K908" s="143"/>
      <c r="N908" s="106"/>
      <c r="O908" s="106"/>
      <c r="P908" s="106"/>
      <c r="Q908" s="106"/>
      <c r="R908" s="106"/>
      <c r="S908" s="106"/>
    </row>
    <row r="909" spans="1:19" s="105" customFormat="1">
      <c r="A909" s="106"/>
      <c r="B909" s="194" t="s">
        <v>114</v>
      </c>
      <c r="C909" s="139"/>
      <c r="D909" s="140"/>
      <c r="E909" s="139"/>
      <c r="F909" s="139"/>
      <c r="G909" s="140"/>
      <c r="H909" s="139"/>
      <c r="I909" s="141"/>
      <c r="J909" s="142"/>
      <c r="K909" s="143"/>
      <c r="N909" s="106"/>
      <c r="O909" s="106"/>
      <c r="P909" s="106"/>
      <c r="Q909" s="106"/>
      <c r="R909" s="106"/>
      <c r="S909" s="106"/>
    </row>
    <row r="910" spans="1:19" s="105" customFormat="1">
      <c r="A910" s="106"/>
      <c r="B910" s="175" t="s">
        <v>43</v>
      </c>
      <c r="C910" s="139"/>
      <c r="D910" s="140"/>
      <c r="E910" s="139">
        <f>SUM(E912:E922)</f>
        <v>4.5</v>
      </c>
      <c r="F910" s="139"/>
      <c r="G910" s="140"/>
      <c r="H910" s="139">
        <f>SUM(H912:H922)</f>
        <v>12.385599999999998</v>
      </c>
      <c r="I910" s="141">
        <f t="shared" si="37"/>
        <v>7.8855999999999984</v>
      </c>
      <c r="J910" s="142">
        <f t="shared" si="38"/>
        <v>63.667484821082539</v>
      </c>
      <c r="K910" s="143"/>
      <c r="N910" s="106"/>
      <c r="O910" s="106"/>
      <c r="P910" s="106"/>
      <c r="Q910" s="106"/>
      <c r="R910" s="106"/>
      <c r="S910" s="106"/>
    </row>
    <row r="911" spans="1:19" s="105" customFormat="1">
      <c r="A911" s="106"/>
      <c r="B911" s="175" t="s">
        <v>19</v>
      </c>
      <c r="C911" s="139"/>
      <c r="D911" s="140"/>
      <c r="E911" s="139"/>
      <c r="F911" s="139"/>
      <c r="G911" s="140"/>
      <c r="H911" s="139"/>
      <c r="I911" s="141"/>
      <c r="J911" s="142"/>
      <c r="K911" s="143"/>
      <c r="N911" s="106"/>
      <c r="O911" s="106"/>
      <c r="P911" s="106"/>
      <c r="Q911" s="106"/>
      <c r="R911" s="106"/>
      <c r="S911" s="106"/>
    </row>
    <row r="912" spans="1:19" s="105" customFormat="1">
      <c r="A912" s="106"/>
      <c r="B912" s="194" t="s">
        <v>85</v>
      </c>
      <c r="C912" s="139"/>
      <c r="D912" s="140"/>
      <c r="E912" s="139"/>
      <c r="F912" s="139"/>
      <c r="G912" s="140"/>
      <c r="H912" s="139"/>
      <c r="I912" s="141"/>
      <c r="J912" s="142"/>
      <c r="K912" s="143"/>
      <c r="N912" s="106"/>
      <c r="O912" s="106"/>
      <c r="P912" s="106"/>
      <c r="Q912" s="106"/>
      <c r="R912" s="106"/>
      <c r="S912" s="106"/>
    </row>
    <row r="913" spans="1:19" s="105" customFormat="1">
      <c r="A913" s="106"/>
      <c r="B913" s="194" t="s">
        <v>151</v>
      </c>
      <c r="C913" s="139"/>
      <c r="D913" s="140"/>
      <c r="E913" s="139"/>
      <c r="F913" s="139"/>
      <c r="G913" s="140"/>
      <c r="H913" s="139"/>
      <c r="I913" s="141"/>
      <c r="J913" s="142"/>
      <c r="K913" s="143"/>
      <c r="N913" s="106"/>
      <c r="O913" s="106"/>
      <c r="P913" s="106"/>
      <c r="Q913" s="106"/>
      <c r="R913" s="106"/>
      <c r="S913" s="106"/>
    </row>
    <row r="914" spans="1:19" s="105" customFormat="1">
      <c r="A914" s="106"/>
      <c r="B914" s="194" t="s">
        <v>150</v>
      </c>
      <c r="C914" s="139"/>
      <c r="D914" s="140"/>
      <c r="E914" s="139"/>
      <c r="F914" s="139"/>
      <c r="G914" s="140"/>
      <c r="H914" s="139"/>
      <c r="I914" s="141"/>
      <c r="J914" s="142"/>
      <c r="K914" s="143"/>
      <c r="N914" s="106"/>
      <c r="O914" s="106"/>
      <c r="P914" s="106"/>
      <c r="Q914" s="106"/>
      <c r="R914" s="106"/>
      <c r="S914" s="106"/>
    </row>
    <row r="915" spans="1:19" s="105" customFormat="1">
      <c r="A915" s="106"/>
      <c r="B915" s="194" t="s">
        <v>84</v>
      </c>
      <c r="C915" s="139"/>
      <c r="D915" s="140"/>
      <c r="E915" s="139">
        <v>4.5</v>
      </c>
      <c r="F915" s="139"/>
      <c r="G915" s="140"/>
      <c r="H915" s="139">
        <f>3.43+8.562</f>
        <v>11.991999999999999</v>
      </c>
      <c r="I915" s="141">
        <f t="shared" si="37"/>
        <v>7.4919999999999991</v>
      </c>
      <c r="J915" s="142">
        <f t="shared" si="38"/>
        <v>62.474983322214811</v>
      </c>
      <c r="K915" s="143" t="s">
        <v>1014</v>
      </c>
      <c r="N915" s="106"/>
      <c r="O915" s="106"/>
      <c r="P915" s="106"/>
      <c r="Q915" s="106"/>
      <c r="R915" s="106"/>
      <c r="S915" s="106"/>
    </row>
    <row r="916" spans="1:19" s="105" customFormat="1">
      <c r="A916" s="106"/>
      <c r="B916" s="194"/>
      <c r="C916" s="139"/>
      <c r="D916" s="140"/>
      <c r="E916" s="139"/>
      <c r="F916" s="139"/>
      <c r="G916" s="140"/>
      <c r="H916" s="139"/>
      <c r="I916" s="141"/>
      <c r="J916" s="142"/>
      <c r="K916" s="143" t="s">
        <v>1015</v>
      </c>
      <c r="N916" s="106"/>
      <c r="O916" s="106"/>
      <c r="P916" s="106"/>
      <c r="Q916" s="106"/>
      <c r="R916" s="106"/>
      <c r="S916" s="106"/>
    </row>
    <row r="917" spans="1:19" s="105" customFormat="1">
      <c r="A917" s="106"/>
      <c r="B917" s="194"/>
      <c r="C917" s="139"/>
      <c r="D917" s="140"/>
      <c r="E917" s="139"/>
      <c r="F917" s="139"/>
      <c r="G917" s="140"/>
      <c r="H917" s="139"/>
      <c r="I917" s="141"/>
      <c r="J917" s="142"/>
      <c r="K917" s="143" t="s">
        <v>1016</v>
      </c>
      <c r="N917" s="106"/>
      <c r="O917" s="106"/>
      <c r="P917" s="106"/>
      <c r="Q917" s="106"/>
      <c r="R917" s="106"/>
      <c r="S917" s="106"/>
    </row>
    <row r="918" spans="1:19" s="105" customFormat="1">
      <c r="A918" s="106"/>
      <c r="B918" s="194"/>
      <c r="C918" s="139"/>
      <c r="D918" s="140"/>
      <c r="E918" s="139"/>
      <c r="F918" s="139"/>
      <c r="G918" s="140"/>
      <c r="H918" s="139"/>
      <c r="I918" s="141"/>
      <c r="J918" s="142"/>
      <c r="K918" s="143"/>
      <c r="N918" s="106"/>
      <c r="O918" s="106"/>
      <c r="P918" s="106"/>
      <c r="Q918" s="106"/>
      <c r="R918" s="106"/>
      <c r="S918" s="106"/>
    </row>
    <row r="919" spans="1:19" s="105" customFormat="1">
      <c r="A919" s="106"/>
      <c r="B919" s="194" t="s">
        <v>152</v>
      </c>
      <c r="C919" s="139"/>
      <c r="D919" s="140"/>
      <c r="E919" s="139"/>
      <c r="F919" s="139"/>
      <c r="G919" s="140"/>
      <c r="H919" s="139"/>
      <c r="I919" s="141"/>
      <c r="J919" s="142"/>
      <c r="K919" s="143"/>
      <c r="N919" s="106"/>
      <c r="O919" s="106"/>
      <c r="P919" s="106"/>
      <c r="Q919" s="106"/>
      <c r="R919" s="106"/>
      <c r="S919" s="106"/>
    </row>
    <row r="920" spans="1:19" s="105" customFormat="1">
      <c r="A920" s="106"/>
      <c r="B920" s="194" t="s">
        <v>153</v>
      </c>
      <c r="C920" s="139"/>
      <c r="D920" s="140"/>
      <c r="E920" s="139"/>
      <c r="F920" s="139"/>
      <c r="G920" s="140"/>
      <c r="H920" s="139"/>
      <c r="I920" s="141"/>
      <c r="J920" s="142"/>
      <c r="K920" s="143"/>
      <c r="N920" s="106"/>
      <c r="O920" s="106"/>
      <c r="P920" s="106"/>
      <c r="Q920" s="106"/>
      <c r="R920" s="106"/>
      <c r="S920" s="106"/>
    </row>
    <row r="921" spans="1:19" s="105" customFormat="1">
      <c r="A921" s="106"/>
      <c r="B921" s="317" t="s">
        <v>1017</v>
      </c>
      <c r="C921" s="139"/>
      <c r="D921" s="140"/>
      <c r="E921" s="139"/>
      <c r="F921" s="139"/>
      <c r="G921" s="140"/>
      <c r="H921" s="193">
        <v>4.36E-2</v>
      </c>
      <c r="I921" s="141">
        <f t="shared" si="37"/>
        <v>4.36E-2</v>
      </c>
      <c r="J921" s="142">
        <f t="shared" si="38"/>
        <v>100.00000000000001</v>
      </c>
      <c r="K921" s="315" t="s">
        <v>1018</v>
      </c>
      <c r="N921" s="106"/>
      <c r="O921" s="106"/>
      <c r="P921" s="106"/>
      <c r="Q921" s="106"/>
      <c r="R921" s="106"/>
      <c r="S921" s="106"/>
    </row>
    <row r="922" spans="1:19" s="105" customFormat="1" ht="40.5">
      <c r="A922" s="106"/>
      <c r="B922" s="175" t="s">
        <v>69</v>
      </c>
      <c r="C922" s="139"/>
      <c r="D922" s="140"/>
      <c r="E922" s="139"/>
      <c r="F922" s="139"/>
      <c r="G922" s="140"/>
      <c r="H922" s="193">
        <v>0.35</v>
      </c>
      <c r="I922" s="141">
        <f t="shared" si="37"/>
        <v>0.35</v>
      </c>
      <c r="J922" s="142">
        <f t="shared" si="38"/>
        <v>100</v>
      </c>
      <c r="K922" s="143"/>
      <c r="N922" s="106"/>
      <c r="O922" s="106"/>
      <c r="P922" s="106"/>
      <c r="Q922" s="106"/>
      <c r="R922" s="106"/>
      <c r="S922" s="106"/>
    </row>
    <row r="923" spans="1:19" s="105" customFormat="1">
      <c r="A923" s="106"/>
      <c r="B923" s="194" t="s">
        <v>2</v>
      </c>
      <c r="C923" s="139"/>
      <c r="D923" s="140"/>
      <c r="E923" s="139"/>
      <c r="F923" s="139"/>
      <c r="G923" s="140"/>
      <c r="H923" s="139"/>
      <c r="I923" s="141"/>
      <c r="J923" s="142"/>
      <c r="K923" s="143"/>
      <c r="N923" s="106"/>
      <c r="O923" s="106"/>
      <c r="P923" s="106"/>
      <c r="Q923" s="106"/>
      <c r="R923" s="106"/>
      <c r="S923" s="106"/>
    </row>
    <row r="924" spans="1:19" s="105" customFormat="1">
      <c r="A924" s="106"/>
      <c r="B924" s="194" t="s">
        <v>3</v>
      </c>
      <c r="C924" s="139"/>
      <c r="D924" s="140"/>
      <c r="E924" s="139"/>
      <c r="F924" s="139"/>
      <c r="G924" s="140"/>
      <c r="H924" s="139"/>
      <c r="I924" s="141"/>
      <c r="J924" s="142"/>
      <c r="K924" s="143"/>
      <c r="N924" s="106"/>
      <c r="O924" s="106"/>
      <c r="P924" s="106"/>
      <c r="Q924" s="106"/>
      <c r="R924" s="106"/>
      <c r="S924" s="106"/>
    </row>
    <row r="925" spans="1:19" s="105" customFormat="1" ht="37.5">
      <c r="A925" s="106"/>
      <c r="B925" s="317" t="s">
        <v>1013</v>
      </c>
      <c r="C925" s="139"/>
      <c r="D925" s="140"/>
      <c r="E925" s="139"/>
      <c r="F925" s="139"/>
      <c r="G925" s="140"/>
      <c r="H925" s="139"/>
      <c r="I925" s="141"/>
      <c r="J925" s="142"/>
      <c r="K925" s="143"/>
      <c r="N925" s="106"/>
      <c r="O925" s="106"/>
      <c r="P925" s="106"/>
      <c r="Q925" s="106"/>
      <c r="R925" s="106"/>
      <c r="S925" s="106"/>
    </row>
    <row r="926" spans="1:19" s="105" customFormat="1">
      <c r="A926" s="106"/>
      <c r="B926" s="175" t="s">
        <v>22</v>
      </c>
      <c r="C926" s="139"/>
      <c r="D926" s="140"/>
      <c r="E926" s="139"/>
      <c r="F926" s="139"/>
      <c r="G926" s="140"/>
      <c r="H926" s="139"/>
      <c r="I926" s="141"/>
      <c r="J926" s="142"/>
      <c r="K926" s="143"/>
      <c r="N926" s="106"/>
      <c r="O926" s="106"/>
      <c r="P926" s="106"/>
      <c r="Q926" s="106"/>
      <c r="R926" s="106"/>
      <c r="S926" s="106"/>
    </row>
    <row r="927" spans="1:19" s="105" customFormat="1">
      <c r="A927" s="106"/>
      <c r="B927" s="194" t="s">
        <v>21</v>
      </c>
      <c r="C927" s="139"/>
      <c r="D927" s="140"/>
      <c r="E927" s="139"/>
      <c r="F927" s="139"/>
      <c r="G927" s="140"/>
      <c r="H927" s="139"/>
      <c r="I927" s="141"/>
      <c r="J927" s="142"/>
      <c r="K927" s="143"/>
      <c r="N927" s="106"/>
      <c r="O927" s="106"/>
      <c r="P927" s="106"/>
      <c r="Q927" s="106"/>
      <c r="R927" s="106"/>
      <c r="S927" s="106"/>
    </row>
    <row r="928" spans="1:19" s="105" customFormat="1">
      <c r="A928" s="106"/>
      <c r="B928" s="175" t="s">
        <v>20</v>
      </c>
      <c r="C928" s="139"/>
      <c r="D928" s="140"/>
      <c r="E928" s="139"/>
      <c r="F928" s="139"/>
      <c r="G928" s="140"/>
      <c r="H928" s="139"/>
      <c r="I928" s="141"/>
      <c r="J928" s="142"/>
      <c r="K928" s="143"/>
      <c r="N928" s="106"/>
      <c r="O928" s="106"/>
      <c r="P928" s="106"/>
      <c r="Q928" s="106"/>
      <c r="R928" s="106"/>
      <c r="S928" s="106"/>
    </row>
    <row r="929" spans="1:19" s="105" customFormat="1">
      <c r="A929" s="106"/>
      <c r="B929" s="194" t="s">
        <v>17</v>
      </c>
      <c r="C929" s="139"/>
      <c r="D929" s="140"/>
      <c r="E929" s="139"/>
      <c r="F929" s="139"/>
      <c r="G929" s="140"/>
      <c r="H929" s="139"/>
      <c r="I929" s="141"/>
      <c r="J929" s="142"/>
      <c r="K929" s="143"/>
      <c r="N929" s="106"/>
      <c r="O929" s="106"/>
      <c r="P929" s="106"/>
      <c r="Q929" s="106"/>
      <c r="R929" s="106"/>
      <c r="S929" s="106"/>
    </row>
    <row r="930" spans="1:19" s="105" customFormat="1">
      <c r="A930" s="106"/>
      <c r="B930" s="175" t="s">
        <v>44</v>
      </c>
      <c r="C930" s="139"/>
      <c r="D930" s="140"/>
      <c r="E930" s="139">
        <f>SUM(E931:E933)</f>
        <v>1.67</v>
      </c>
      <c r="F930" s="139"/>
      <c r="G930" s="140"/>
      <c r="H930" s="139">
        <f>SUM(H931:H933)</f>
        <v>3</v>
      </c>
      <c r="I930" s="141">
        <f t="shared" si="37"/>
        <v>1.33</v>
      </c>
      <c r="J930" s="142">
        <f t="shared" si="38"/>
        <v>44.333333333333336</v>
      </c>
      <c r="K930" s="143"/>
      <c r="N930" s="106"/>
      <c r="O930" s="106"/>
      <c r="P930" s="106"/>
      <c r="Q930" s="106"/>
      <c r="R930" s="106"/>
      <c r="S930" s="106"/>
    </row>
    <row r="931" spans="1:19" s="105" customFormat="1" ht="56.25">
      <c r="A931" s="106"/>
      <c r="B931" s="194" t="s">
        <v>184</v>
      </c>
      <c r="C931" s="139"/>
      <c r="D931" s="140"/>
      <c r="E931" s="139">
        <v>1.67</v>
      </c>
      <c r="F931" s="139"/>
      <c r="G931" s="140"/>
      <c r="H931" s="139">
        <v>3</v>
      </c>
      <c r="I931" s="141">
        <f t="shared" si="37"/>
        <v>1.33</v>
      </c>
      <c r="J931" s="142">
        <f t="shared" si="38"/>
        <v>44.333333333333336</v>
      </c>
      <c r="K931" s="175" t="s">
        <v>353</v>
      </c>
      <c r="N931" s="106"/>
      <c r="O931" s="106"/>
      <c r="P931" s="106"/>
      <c r="Q931" s="106"/>
      <c r="R931" s="106"/>
      <c r="S931" s="106"/>
    </row>
    <row r="932" spans="1:19" s="105" customFormat="1">
      <c r="A932" s="106"/>
      <c r="B932" s="194" t="s">
        <v>91</v>
      </c>
      <c r="C932" s="139"/>
      <c r="D932" s="140"/>
      <c r="E932" s="139"/>
      <c r="F932" s="139"/>
      <c r="G932" s="140"/>
      <c r="H932" s="139"/>
      <c r="I932" s="141"/>
      <c r="J932" s="142"/>
      <c r="K932" s="143"/>
      <c r="N932" s="106"/>
      <c r="O932" s="106"/>
      <c r="P932" s="106"/>
      <c r="Q932" s="106"/>
      <c r="R932" s="106"/>
      <c r="S932" s="106"/>
    </row>
    <row r="933" spans="1:19" s="105" customFormat="1">
      <c r="A933" s="106"/>
      <c r="B933" s="194" t="s">
        <v>135</v>
      </c>
      <c r="C933" s="139"/>
      <c r="D933" s="140"/>
      <c r="E933" s="139"/>
      <c r="F933" s="139"/>
      <c r="G933" s="140"/>
      <c r="H933" s="139"/>
      <c r="I933" s="141"/>
      <c r="J933" s="142"/>
      <c r="K933" s="143"/>
      <c r="N933" s="106"/>
      <c r="O933" s="106"/>
      <c r="P933" s="106"/>
      <c r="Q933" s="106"/>
      <c r="R933" s="106"/>
      <c r="S933" s="106"/>
    </row>
    <row r="934" spans="1:19" s="105" customFormat="1">
      <c r="A934" s="106"/>
      <c r="B934" s="175" t="s">
        <v>45</v>
      </c>
      <c r="C934" s="139"/>
      <c r="D934" s="140"/>
      <c r="E934" s="139">
        <f>SUM(E935:E942)</f>
        <v>3.55</v>
      </c>
      <c r="F934" s="139"/>
      <c r="G934" s="140"/>
      <c r="H934" s="139">
        <f>SUM(H935:H942)</f>
        <v>7.2859999999999996</v>
      </c>
      <c r="I934" s="141">
        <f t="shared" si="37"/>
        <v>3.7359999999999998</v>
      </c>
      <c r="J934" s="142">
        <f t="shared" si="38"/>
        <v>51.276420532528135</v>
      </c>
      <c r="K934" s="143"/>
      <c r="N934" s="106"/>
      <c r="O934" s="106"/>
      <c r="P934" s="106"/>
      <c r="Q934" s="106"/>
      <c r="R934" s="106"/>
      <c r="S934" s="106"/>
    </row>
    <row r="935" spans="1:19" s="105" customFormat="1">
      <c r="A935" s="106"/>
      <c r="B935" s="194" t="s">
        <v>185</v>
      </c>
      <c r="C935" s="139"/>
      <c r="D935" s="140"/>
      <c r="E935" s="139">
        <v>3.55</v>
      </c>
      <c r="F935" s="139"/>
      <c r="G935" s="140"/>
      <c r="H935" s="139">
        <v>7.2859999999999996</v>
      </c>
      <c r="I935" s="141">
        <f t="shared" si="37"/>
        <v>3.7359999999999998</v>
      </c>
      <c r="J935" s="142">
        <f t="shared" si="38"/>
        <v>51.276420532528135</v>
      </c>
      <c r="K935" s="175" t="s">
        <v>1009</v>
      </c>
      <c r="N935" s="106"/>
      <c r="O935" s="106"/>
      <c r="P935" s="106"/>
      <c r="Q935" s="106"/>
      <c r="R935" s="106"/>
      <c r="S935" s="106"/>
    </row>
    <row r="936" spans="1:19" s="105" customFormat="1" ht="56.25">
      <c r="A936" s="106"/>
      <c r="B936" s="194"/>
      <c r="C936" s="139"/>
      <c r="D936" s="140"/>
      <c r="E936" s="139"/>
      <c r="F936" s="139"/>
      <c r="G936" s="140"/>
      <c r="H936" s="139"/>
      <c r="I936" s="141"/>
      <c r="J936" s="142"/>
      <c r="K936" s="175" t="s">
        <v>1010</v>
      </c>
      <c r="N936" s="106"/>
      <c r="O936" s="106"/>
      <c r="P936" s="106"/>
      <c r="Q936" s="106"/>
      <c r="R936" s="106"/>
      <c r="S936" s="106"/>
    </row>
    <row r="937" spans="1:19" s="105" customFormat="1" ht="37.5">
      <c r="A937" s="106"/>
      <c r="B937" s="194"/>
      <c r="C937" s="139"/>
      <c r="D937" s="140"/>
      <c r="E937" s="139"/>
      <c r="F937" s="139"/>
      <c r="G937" s="140"/>
      <c r="H937" s="139"/>
      <c r="I937" s="141"/>
      <c r="J937" s="142"/>
      <c r="K937" s="175" t="s">
        <v>1011</v>
      </c>
      <c r="N937" s="106"/>
      <c r="O937" s="106"/>
      <c r="P937" s="106"/>
      <c r="Q937" s="106"/>
      <c r="R937" s="106"/>
      <c r="S937" s="106"/>
    </row>
    <row r="938" spans="1:19" s="105" customFormat="1" ht="37.5">
      <c r="A938" s="106"/>
      <c r="B938" s="194"/>
      <c r="C938" s="139"/>
      <c r="D938" s="140"/>
      <c r="E938" s="139"/>
      <c r="F938" s="139"/>
      <c r="G938" s="140"/>
      <c r="H938" s="139"/>
      <c r="I938" s="141"/>
      <c r="J938" s="142"/>
      <c r="K938" s="175" t="s">
        <v>1012</v>
      </c>
      <c r="N938" s="106"/>
      <c r="O938" s="106"/>
      <c r="P938" s="106"/>
      <c r="Q938" s="106"/>
      <c r="R938" s="106"/>
      <c r="S938" s="106"/>
    </row>
    <row r="939" spans="1:19" s="105" customFormat="1">
      <c r="A939" s="106"/>
      <c r="B939" s="194" t="s">
        <v>107</v>
      </c>
      <c r="C939" s="139"/>
      <c r="D939" s="140"/>
      <c r="E939" s="139"/>
      <c r="F939" s="139"/>
      <c r="G939" s="140"/>
      <c r="H939" s="139"/>
      <c r="I939" s="141"/>
      <c r="J939" s="142"/>
      <c r="K939" s="143"/>
      <c r="N939" s="106"/>
      <c r="O939" s="106"/>
      <c r="P939" s="106"/>
      <c r="Q939" s="106"/>
      <c r="R939" s="106"/>
      <c r="S939" s="106"/>
    </row>
    <row r="940" spans="1:19" s="105" customFormat="1">
      <c r="A940" s="106"/>
      <c r="B940" s="194" t="s">
        <v>108</v>
      </c>
      <c r="C940" s="139"/>
      <c r="D940" s="140"/>
      <c r="E940" s="139"/>
      <c r="F940" s="139"/>
      <c r="G940" s="140"/>
      <c r="H940" s="139"/>
      <c r="I940" s="141"/>
      <c r="J940" s="142"/>
      <c r="K940" s="143"/>
      <c r="N940" s="106"/>
      <c r="O940" s="106"/>
      <c r="P940" s="106"/>
      <c r="Q940" s="106"/>
      <c r="R940" s="106"/>
      <c r="S940" s="106"/>
    </row>
    <row r="941" spans="1:19" s="105" customFormat="1">
      <c r="A941" s="106"/>
      <c r="B941" s="194" t="s">
        <v>109</v>
      </c>
      <c r="C941" s="139"/>
      <c r="D941" s="140"/>
      <c r="E941" s="139"/>
      <c r="F941" s="139"/>
      <c r="G941" s="140"/>
      <c r="H941" s="139"/>
      <c r="I941" s="141"/>
      <c r="J941" s="142"/>
      <c r="K941" s="143"/>
      <c r="N941" s="106"/>
      <c r="O941" s="106"/>
      <c r="P941" s="106"/>
      <c r="Q941" s="106"/>
      <c r="R941" s="106"/>
      <c r="S941" s="106"/>
    </row>
    <row r="942" spans="1:19" s="105" customFormat="1">
      <c r="A942" s="106"/>
      <c r="B942" s="194" t="s">
        <v>111</v>
      </c>
      <c r="C942" s="139"/>
      <c r="D942" s="140"/>
      <c r="E942" s="139"/>
      <c r="F942" s="139"/>
      <c r="G942" s="140"/>
      <c r="H942" s="139"/>
      <c r="I942" s="141"/>
      <c r="J942" s="142"/>
      <c r="K942" s="143"/>
      <c r="N942" s="106"/>
      <c r="O942" s="106"/>
      <c r="P942" s="106"/>
      <c r="Q942" s="106"/>
      <c r="R942" s="106"/>
      <c r="S942" s="106"/>
    </row>
    <row r="943" spans="1:19" s="105" customFormat="1">
      <c r="A943" s="106"/>
      <c r="B943" s="175" t="s">
        <v>46</v>
      </c>
      <c r="C943" s="139"/>
      <c r="D943" s="140"/>
      <c r="E943" s="139">
        <f>+E944+E957</f>
        <v>9.0952000000000002</v>
      </c>
      <c r="F943" s="139"/>
      <c r="G943" s="140"/>
      <c r="H943" s="139">
        <f>+H944+H957</f>
        <v>24.3337</v>
      </c>
      <c r="I943" s="141">
        <f t="shared" si="37"/>
        <v>15.2385</v>
      </c>
      <c r="J943" s="142">
        <f t="shared" si="38"/>
        <v>62.623028968056644</v>
      </c>
      <c r="K943" s="143"/>
      <c r="N943" s="106"/>
      <c r="O943" s="106"/>
      <c r="P943" s="106"/>
      <c r="Q943" s="106"/>
      <c r="R943" s="106"/>
      <c r="S943" s="106"/>
    </row>
    <row r="944" spans="1:19" s="105" customFormat="1">
      <c r="A944" s="106"/>
      <c r="B944" s="175" t="s">
        <v>47</v>
      </c>
      <c r="C944" s="139"/>
      <c r="D944" s="140"/>
      <c r="E944" s="139">
        <v>9.0952000000000002</v>
      </c>
      <c r="F944" s="139"/>
      <c r="G944" s="140"/>
      <c r="H944" s="139">
        <f>+H946</f>
        <v>24.3337</v>
      </c>
      <c r="I944" s="141">
        <f t="shared" si="37"/>
        <v>15.2385</v>
      </c>
      <c r="J944" s="142">
        <f t="shared" si="38"/>
        <v>62.623028968056644</v>
      </c>
      <c r="K944" s="143"/>
      <c r="N944" s="106"/>
      <c r="O944" s="106"/>
      <c r="P944" s="106"/>
      <c r="Q944" s="106"/>
      <c r="R944" s="106"/>
      <c r="S944" s="106"/>
    </row>
    <row r="945" spans="1:19" s="105" customFormat="1">
      <c r="A945" s="106"/>
      <c r="B945" s="175" t="s">
        <v>19</v>
      </c>
      <c r="C945" s="139"/>
      <c r="D945" s="140"/>
      <c r="E945" s="139"/>
      <c r="F945" s="139"/>
      <c r="G945" s="140"/>
      <c r="H945" s="139">
        <f>+H946</f>
        <v>24.3337</v>
      </c>
      <c r="I945" s="141">
        <f t="shared" si="37"/>
        <v>24.3337</v>
      </c>
      <c r="J945" s="142">
        <f t="shared" si="38"/>
        <v>100</v>
      </c>
      <c r="K945" s="143"/>
      <c r="N945" s="106"/>
      <c r="O945" s="106"/>
      <c r="P945" s="106"/>
      <c r="Q945" s="106"/>
      <c r="R945" s="106"/>
      <c r="S945" s="106"/>
    </row>
    <row r="946" spans="1:19" s="105" customFormat="1">
      <c r="A946" s="106"/>
      <c r="B946" s="175" t="s">
        <v>110</v>
      </c>
      <c r="C946" s="139"/>
      <c r="D946" s="140"/>
      <c r="E946" s="139"/>
      <c r="F946" s="139"/>
      <c r="G946" s="140"/>
      <c r="H946" s="139">
        <f>SUM(H947:H950)</f>
        <v>24.3337</v>
      </c>
      <c r="I946" s="141">
        <f t="shared" si="37"/>
        <v>24.3337</v>
      </c>
      <c r="J946" s="142">
        <f t="shared" si="38"/>
        <v>100</v>
      </c>
      <c r="K946" s="143"/>
      <c r="N946" s="106"/>
      <c r="O946" s="106"/>
      <c r="P946" s="106"/>
      <c r="Q946" s="106"/>
      <c r="R946" s="106"/>
      <c r="S946" s="106"/>
    </row>
    <row r="947" spans="1:19" s="105" customFormat="1" ht="37.5">
      <c r="A947" s="106"/>
      <c r="B947" s="194" t="s">
        <v>1019</v>
      </c>
      <c r="C947" s="139"/>
      <c r="D947" s="140"/>
      <c r="E947" s="139"/>
      <c r="F947" s="139"/>
      <c r="G947" s="140"/>
      <c r="H947" s="139">
        <v>3.55</v>
      </c>
      <c r="I947" s="141">
        <f t="shared" si="37"/>
        <v>3.55</v>
      </c>
      <c r="J947" s="142">
        <f t="shared" si="38"/>
        <v>100</v>
      </c>
      <c r="K947" s="143"/>
      <c r="N947" s="106"/>
      <c r="O947" s="106"/>
      <c r="P947" s="106"/>
      <c r="Q947" s="106"/>
      <c r="R947" s="106"/>
      <c r="S947" s="106"/>
    </row>
    <row r="948" spans="1:19" s="105" customFormat="1" ht="37.5">
      <c r="A948" s="106"/>
      <c r="B948" s="194" t="s">
        <v>1020</v>
      </c>
      <c r="C948" s="139"/>
      <c r="D948" s="140"/>
      <c r="E948" s="139"/>
      <c r="F948" s="139"/>
      <c r="G948" s="140"/>
      <c r="H948" s="139">
        <v>3.39</v>
      </c>
      <c r="I948" s="141">
        <f t="shared" si="37"/>
        <v>3.39</v>
      </c>
      <c r="J948" s="142">
        <f t="shared" si="38"/>
        <v>100</v>
      </c>
      <c r="K948" s="143"/>
      <c r="N948" s="106"/>
      <c r="O948" s="106"/>
      <c r="P948" s="106"/>
      <c r="Q948" s="106"/>
      <c r="R948" s="106"/>
      <c r="S948" s="106"/>
    </row>
    <row r="949" spans="1:19" s="105" customFormat="1">
      <c r="A949" s="106"/>
      <c r="B949" s="194" t="s">
        <v>1021</v>
      </c>
      <c r="C949" s="139"/>
      <c r="D949" s="140"/>
      <c r="E949" s="139"/>
      <c r="F949" s="139"/>
      <c r="G949" s="140"/>
      <c r="H949" s="261">
        <v>11.9999</v>
      </c>
      <c r="I949" s="141">
        <f t="shared" si="37"/>
        <v>11.9999</v>
      </c>
      <c r="J949" s="142">
        <f t="shared" si="38"/>
        <v>100</v>
      </c>
      <c r="K949" s="143"/>
      <c r="N949" s="106"/>
      <c r="O949" s="106"/>
      <c r="P949" s="106"/>
      <c r="Q949" s="106"/>
      <c r="R949" s="106"/>
      <c r="S949" s="106"/>
    </row>
    <row r="950" spans="1:19" s="105" customFormat="1">
      <c r="A950" s="106"/>
      <c r="B950" s="194" t="s">
        <v>1022</v>
      </c>
      <c r="C950" s="139"/>
      <c r="D950" s="140"/>
      <c r="E950" s="139"/>
      <c r="F950" s="139"/>
      <c r="G950" s="140"/>
      <c r="H950" s="139">
        <v>5.3937999999999997</v>
      </c>
      <c r="I950" s="141">
        <f t="shared" si="37"/>
        <v>5.3937999999999997</v>
      </c>
      <c r="J950" s="142">
        <f t="shared" si="38"/>
        <v>100</v>
      </c>
      <c r="K950" s="143"/>
      <c r="N950" s="106"/>
      <c r="O950" s="106"/>
      <c r="P950" s="106"/>
      <c r="Q950" s="106"/>
      <c r="R950" s="106"/>
      <c r="S950" s="106"/>
    </row>
    <row r="951" spans="1:19" s="105" customFormat="1">
      <c r="A951" s="106"/>
      <c r="B951" s="175" t="s">
        <v>22</v>
      </c>
      <c r="C951" s="139"/>
      <c r="D951" s="140"/>
      <c r="E951" s="139"/>
      <c r="F951" s="139"/>
      <c r="G951" s="140"/>
      <c r="H951" s="139"/>
      <c r="I951" s="141"/>
      <c r="J951" s="142"/>
      <c r="K951" s="143"/>
      <c r="N951" s="106"/>
      <c r="O951" s="106"/>
      <c r="P951" s="106"/>
      <c r="Q951" s="106"/>
      <c r="R951" s="106"/>
      <c r="S951" s="106"/>
    </row>
    <row r="952" spans="1:19" s="105" customFormat="1">
      <c r="A952" s="106"/>
      <c r="B952" s="175" t="s">
        <v>48</v>
      </c>
      <c r="C952" s="139"/>
      <c r="D952" s="140"/>
      <c r="E952" s="139"/>
      <c r="F952" s="139"/>
      <c r="G952" s="140"/>
      <c r="H952" s="139"/>
      <c r="I952" s="141"/>
      <c r="J952" s="142"/>
      <c r="K952" s="143"/>
      <c r="N952" s="106"/>
      <c r="O952" s="106"/>
      <c r="P952" s="106"/>
      <c r="Q952" s="106"/>
      <c r="R952" s="106"/>
      <c r="S952" s="106"/>
    </row>
    <row r="953" spans="1:19" s="105" customFormat="1">
      <c r="A953" s="106"/>
      <c r="B953" s="194" t="s">
        <v>23</v>
      </c>
      <c r="C953" s="139"/>
      <c r="D953" s="140"/>
      <c r="E953" s="139"/>
      <c r="F953" s="139"/>
      <c r="G953" s="140"/>
      <c r="H953" s="139"/>
      <c r="I953" s="141"/>
      <c r="J953" s="142"/>
      <c r="K953" s="143"/>
      <c r="N953" s="106"/>
      <c r="O953" s="106"/>
      <c r="P953" s="106"/>
      <c r="Q953" s="106"/>
      <c r="R953" s="106"/>
      <c r="S953" s="106"/>
    </row>
    <row r="954" spans="1:19" s="105" customFormat="1">
      <c r="A954" s="106"/>
      <c r="B954" s="175" t="s">
        <v>20</v>
      </c>
      <c r="C954" s="139"/>
      <c r="D954" s="140"/>
      <c r="E954" s="139"/>
      <c r="F954" s="139"/>
      <c r="G954" s="140"/>
      <c r="H954" s="139"/>
      <c r="I954" s="141"/>
      <c r="J954" s="142"/>
      <c r="K954" s="143"/>
      <c r="N954" s="106"/>
      <c r="O954" s="106"/>
      <c r="P954" s="106"/>
      <c r="Q954" s="106"/>
      <c r="R954" s="106"/>
      <c r="S954" s="106"/>
    </row>
    <row r="955" spans="1:19" s="105" customFormat="1">
      <c r="A955" s="106"/>
      <c r="B955" s="175" t="s">
        <v>48</v>
      </c>
      <c r="C955" s="139"/>
      <c r="D955" s="140"/>
      <c r="E955" s="139"/>
      <c r="F955" s="139"/>
      <c r="G955" s="140"/>
      <c r="H955" s="139"/>
      <c r="I955" s="141"/>
      <c r="J955" s="142"/>
      <c r="K955" s="143"/>
      <c r="N955" s="106"/>
      <c r="O955" s="106"/>
      <c r="P955" s="106"/>
      <c r="Q955" s="106"/>
      <c r="R955" s="106"/>
      <c r="S955" s="106"/>
    </row>
    <row r="956" spans="1:19" s="105" customFormat="1">
      <c r="A956" s="106"/>
      <c r="B956" s="194" t="s">
        <v>23</v>
      </c>
      <c r="C956" s="139"/>
      <c r="D956" s="140"/>
      <c r="E956" s="139"/>
      <c r="F956" s="139"/>
      <c r="G956" s="140"/>
      <c r="H956" s="139"/>
      <c r="I956" s="141"/>
      <c r="J956" s="142"/>
      <c r="K956" s="143"/>
      <c r="N956" s="106"/>
      <c r="O956" s="106"/>
      <c r="P956" s="106"/>
      <c r="Q956" s="106"/>
      <c r="R956" s="106"/>
      <c r="S956" s="106"/>
    </row>
    <row r="957" spans="1:19" s="105" customFormat="1">
      <c r="A957" s="106"/>
      <c r="B957" s="175" t="s">
        <v>49</v>
      </c>
      <c r="C957" s="139"/>
      <c r="D957" s="140"/>
      <c r="E957" s="139">
        <f>+E959</f>
        <v>0</v>
      </c>
      <c r="F957" s="139"/>
      <c r="G957" s="140"/>
      <c r="H957" s="139">
        <f>+H959</f>
        <v>0</v>
      </c>
      <c r="I957" s="141"/>
      <c r="J957" s="142"/>
      <c r="K957" s="143"/>
      <c r="N957" s="106"/>
      <c r="O957" s="106"/>
      <c r="P957" s="106"/>
      <c r="Q957" s="106"/>
      <c r="R957" s="106"/>
      <c r="S957" s="106"/>
    </row>
    <row r="958" spans="1:19" s="105" customFormat="1">
      <c r="A958" s="106"/>
      <c r="B958" s="175" t="s">
        <v>19</v>
      </c>
      <c r="C958" s="139"/>
      <c r="D958" s="140"/>
      <c r="E958" s="139"/>
      <c r="F958" s="139"/>
      <c r="G958" s="140"/>
      <c r="H958" s="139"/>
      <c r="I958" s="139"/>
      <c r="J958" s="139"/>
      <c r="K958" s="143"/>
      <c r="N958" s="106"/>
      <c r="O958" s="106"/>
      <c r="P958" s="106"/>
      <c r="Q958" s="106"/>
      <c r="R958" s="106"/>
      <c r="S958" s="106"/>
    </row>
    <row r="959" spans="1:19" s="105" customFormat="1">
      <c r="A959" s="106"/>
      <c r="B959" s="175" t="s">
        <v>50</v>
      </c>
      <c r="C959" s="139"/>
      <c r="D959" s="140"/>
      <c r="E959" s="139"/>
      <c r="F959" s="139"/>
      <c r="G959" s="140"/>
      <c r="H959" s="139"/>
      <c r="I959" s="143"/>
      <c r="J959" s="143"/>
      <c r="K959" s="143"/>
      <c r="N959" s="106"/>
      <c r="O959" s="106"/>
      <c r="P959" s="106"/>
      <c r="Q959" s="106"/>
      <c r="R959" s="106"/>
      <c r="S959" s="106"/>
    </row>
    <row r="960" spans="1:19" s="105" customFormat="1" ht="27.75" customHeight="1">
      <c r="A960" s="106"/>
      <c r="B960" s="194" t="s">
        <v>17</v>
      </c>
      <c r="C960" s="139"/>
      <c r="D960" s="140"/>
      <c r="E960" s="139"/>
      <c r="F960" s="139"/>
      <c r="G960" s="140"/>
      <c r="H960" s="139"/>
      <c r="I960" s="141"/>
      <c r="J960" s="142"/>
      <c r="K960" s="143"/>
      <c r="N960" s="106"/>
      <c r="O960" s="106"/>
      <c r="P960" s="106"/>
      <c r="Q960" s="106"/>
      <c r="R960" s="106"/>
      <c r="S960" s="106"/>
    </row>
    <row r="961" spans="1:19" s="105" customFormat="1" ht="27.75" customHeight="1">
      <c r="A961" s="106"/>
      <c r="B961" s="194" t="s">
        <v>18</v>
      </c>
      <c r="C961" s="139"/>
      <c r="D961" s="140"/>
      <c r="E961" s="139"/>
      <c r="F961" s="139"/>
      <c r="G961" s="140"/>
      <c r="H961" s="139"/>
      <c r="I961" s="141"/>
      <c r="J961" s="142"/>
      <c r="K961" s="143"/>
      <c r="N961" s="106"/>
      <c r="O961" s="106"/>
      <c r="P961" s="106"/>
      <c r="Q961" s="106"/>
      <c r="R961" s="106"/>
      <c r="S961" s="106"/>
    </row>
    <row r="962" spans="1:19" s="105" customFormat="1">
      <c r="A962" s="106"/>
      <c r="B962" s="175" t="s">
        <v>22</v>
      </c>
      <c r="C962" s="139"/>
      <c r="D962" s="140"/>
      <c r="E962" s="139"/>
      <c r="F962" s="139"/>
      <c r="G962" s="140"/>
      <c r="H962" s="139"/>
      <c r="I962" s="141"/>
      <c r="J962" s="142"/>
      <c r="K962" s="143"/>
      <c r="N962" s="106"/>
      <c r="O962" s="106"/>
      <c r="P962" s="106"/>
      <c r="Q962" s="106"/>
      <c r="R962" s="106"/>
      <c r="S962" s="106"/>
    </row>
    <row r="963" spans="1:19" s="105" customFormat="1">
      <c r="A963" s="106"/>
      <c r="B963" s="175" t="s">
        <v>51</v>
      </c>
      <c r="C963" s="139"/>
      <c r="D963" s="140"/>
      <c r="E963" s="139"/>
      <c r="F963" s="139"/>
      <c r="G963" s="140"/>
      <c r="H963" s="139"/>
      <c r="I963" s="141"/>
      <c r="J963" s="142"/>
      <c r="K963" s="143"/>
      <c r="N963" s="106"/>
      <c r="O963" s="106"/>
      <c r="P963" s="106"/>
      <c r="Q963" s="106"/>
      <c r="R963" s="106"/>
      <c r="S963" s="106"/>
    </row>
    <row r="964" spans="1:19" s="105" customFormat="1">
      <c r="A964" s="106"/>
      <c r="B964" s="194" t="s">
        <v>23</v>
      </c>
      <c r="C964" s="139"/>
      <c r="D964" s="140"/>
      <c r="E964" s="139"/>
      <c r="F964" s="139"/>
      <c r="G964" s="140"/>
      <c r="H964" s="139"/>
      <c r="I964" s="141"/>
      <c r="J964" s="142"/>
      <c r="K964" s="143"/>
      <c r="N964" s="106"/>
      <c r="O964" s="106"/>
      <c r="P964" s="106"/>
      <c r="Q964" s="106"/>
      <c r="R964" s="106"/>
      <c r="S964" s="106"/>
    </row>
    <row r="965" spans="1:19" s="105" customFormat="1">
      <c r="A965" s="106"/>
      <c r="B965" s="175" t="s">
        <v>20</v>
      </c>
      <c r="C965" s="139"/>
      <c r="D965" s="140"/>
      <c r="E965" s="139"/>
      <c r="F965" s="139"/>
      <c r="G965" s="140"/>
      <c r="H965" s="139"/>
      <c r="I965" s="141"/>
      <c r="J965" s="142"/>
      <c r="K965" s="143"/>
      <c r="N965" s="106"/>
      <c r="O965" s="106"/>
      <c r="P965" s="106"/>
      <c r="Q965" s="106"/>
      <c r="R965" s="106"/>
      <c r="S965" s="106"/>
    </row>
    <row r="966" spans="1:19" s="105" customFormat="1">
      <c r="A966" s="106"/>
      <c r="B966" s="175" t="s">
        <v>51</v>
      </c>
      <c r="C966" s="139"/>
      <c r="D966" s="140"/>
      <c r="E966" s="139"/>
      <c r="F966" s="139"/>
      <c r="G966" s="140"/>
      <c r="H966" s="139"/>
      <c r="I966" s="141"/>
      <c r="J966" s="142"/>
      <c r="K966" s="143"/>
      <c r="N966" s="106"/>
      <c r="O966" s="106"/>
      <c r="P966" s="106"/>
      <c r="Q966" s="106"/>
      <c r="R966" s="106"/>
      <c r="S966" s="106"/>
    </row>
    <row r="967" spans="1:19" s="105" customFormat="1">
      <c r="A967" s="106"/>
      <c r="B967" s="194" t="s">
        <v>23</v>
      </c>
      <c r="C967" s="139"/>
      <c r="D967" s="140"/>
      <c r="E967" s="139"/>
      <c r="F967" s="139"/>
      <c r="G967" s="140"/>
      <c r="H967" s="139"/>
      <c r="I967" s="141"/>
      <c r="J967" s="142"/>
      <c r="K967" s="143"/>
      <c r="N967" s="106"/>
      <c r="O967" s="106"/>
      <c r="P967" s="106"/>
      <c r="Q967" s="106"/>
      <c r="R967" s="106"/>
      <c r="S967" s="106"/>
    </row>
    <row r="968" spans="1:19">
      <c r="B968" s="175" t="s">
        <v>53</v>
      </c>
      <c r="C968" s="139"/>
      <c r="D968" s="140"/>
      <c r="E968" s="139">
        <f>+E970</f>
        <v>0</v>
      </c>
      <c r="F968" s="139"/>
      <c r="G968" s="140"/>
      <c r="H968" s="140"/>
      <c r="I968" s="140"/>
      <c r="J968" s="140"/>
      <c r="K968" s="143"/>
    </row>
    <row r="969" spans="1:19">
      <c r="B969" s="175" t="s">
        <v>52</v>
      </c>
      <c r="C969" s="139"/>
      <c r="D969" s="140"/>
      <c r="E969" s="139"/>
      <c r="F969" s="139"/>
      <c r="G969" s="140"/>
      <c r="H969" s="139"/>
      <c r="I969" s="141"/>
      <c r="J969" s="142"/>
      <c r="K969" s="143"/>
    </row>
    <row r="970" spans="1:19">
      <c r="B970" s="175" t="s">
        <v>154</v>
      </c>
      <c r="C970" s="139"/>
      <c r="D970" s="140"/>
      <c r="E970" s="139"/>
      <c r="F970" s="139"/>
      <c r="G970" s="140"/>
      <c r="H970" s="139"/>
      <c r="I970" s="141"/>
      <c r="J970" s="142"/>
      <c r="K970" s="143"/>
    </row>
    <row r="971" spans="1:19">
      <c r="B971" s="175" t="s">
        <v>56</v>
      </c>
      <c r="C971" s="139"/>
      <c r="D971" s="140"/>
      <c r="E971" s="139">
        <f>SUM(E972:E972)</f>
        <v>0</v>
      </c>
      <c r="F971" s="139"/>
      <c r="G971" s="140"/>
      <c r="H971" s="139">
        <f>SUM(H972:H972)</f>
        <v>0</v>
      </c>
      <c r="I971" s="143"/>
      <c r="J971" s="143"/>
      <c r="K971" s="143"/>
    </row>
    <row r="972" spans="1:19">
      <c r="B972" s="175"/>
      <c r="C972" s="139"/>
      <c r="D972" s="140"/>
      <c r="E972" s="139"/>
      <c r="F972" s="139"/>
      <c r="G972" s="140"/>
      <c r="H972" s="139"/>
      <c r="I972" s="139"/>
      <c r="J972" s="139"/>
      <c r="K972" s="143"/>
    </row>
    <row r="973" spans="1:19" ht="27.75" customHeight="1">
      <c r="B973" s="286" t="s">
        <v>187</v>
      </c>
      <c r="C973" s="139"/>
      <c r="D973" s="140"/>
      <c r="E973" s="139">
        <f>+E975+E1044+E1067+E1072</f>
        <v>6075.8682999999983</v>
      </c>
      <c r="F973" s="139"/>
      <c r="G973" s="140"/>
      <c r="H973" s="139">
        <f>+H975+H1044+H1067+H1072</f>
        <v>11249.779059999997</v>
      </c>
      <c r="I973" s="141">
        <f t="shared" ref="I973:I1036" si="39">+H973-E973</f>
        <v>5173.9107599999988</v>
      </c>
      <c r="J973" s="142">
        <f t="shared" ref="J973:J1036" si="40">+I973*100/H973</f>
        <v>45.991221093367855</v>
      </c>
      <c r="K973" s="143"/>
      <c r="L973" s="324"/>
    </row>
    <row r="974" spans="1:19" ht="27.75" customHeight="1">
      <c r="B974" s="245" t="s">
        <v>94</v>
      </c>
      <c r="C974" s="139"/>
      <c r="D974" s="140"/>
      <c r="E974" s="139"/>
      <c r="F974" s="139"/>
      <c r="G974" s="140"/>
      <c r="H974" s="139"/>
      <c r="I974" s="143"/>
      <c r="J974" s="143"/>
      <c r="K974" s="143"/>
    </row>
    <row r="975" spans="1:19">
      <c r="B975" s="175" t="s">
        <v>38</v>
      </c>
      <c r="C975" s="139"/>
      <c r="D975" s="140"/>
      <c r="E975" s="139">
        <f>+E976+E1038</f>
        <v>173.91369999999998</v>
      </c>
      <c r="F975" s="139"/>
      <c r="G975" s="140"/>
      <c r="H975" s="139">
        <f>+H976+H1038</f>
        <v>317.3698</v>
      </c>
      <c r="I975" s="141">
        <f t="shared" si="39"/>
        <v>143.45610000000002</v>
      </c>
      <c r="J975" s="142">
        <f t="shared" si="40"/>
        <v>45.201559820751697</v>
      </c>
      <c r="K975" s="143"/>
    </row>
    <row r="976" spans="1:19">
      <c r="B976" s="175" t="s">
        <v>41</v>
      </c>
      <c r="C976" s="139"/>
      <c r="D976" s="140"/>
      <c r="E976" s="139">
        <f>+E977+E985+E1022</f>
        <v>153.43709999999999</v>
      </c>
      <c r="F976" s="139"/>
      <c r="G976" s="140"/>
      <c r="H976" s="139">
        <f>+H977+H985+H1022</f>
        <v>297.9658</v>
      </c>
      <c r="I976" s="141">
        <f t="shared" si="39"/>
        <v>144.52870000000001</v>
      </c>
      <c r="J976" s="142">
        <f t="shared" si="40"/>
        <v>48.505130454568949</v>
      </c>
      <c r="K976" s="143"/>
    </row>
    <row r="977" spans="1:19">
      <c r="B977" s="175" t="s">
        <v>42</v>
      </c>
      <c r="C977" s="139"/>
      <c r="D977" s="140"/>
      <c r="E977" s="139">
        <f>SUM(E978:E984)</f>
        <v>18.808500000000002</v>
      </c>
      <c r="F977" s="139"/>
      <c r="G977" s="140"/>
      <c r="H977" s="139">
        <f>SUM(H978:H984)</f>
        <v>29.244600000000002</v>
      </c>
      <c r="I977" s="141">
        <f t="shared" si="39"/>
        <v>10.4361</v>
      </c>
      <c r="J977" s="142">
        <f t="shared" si="40"/>
        <v>35.685562462813643</v>
      </c>
      <c r="K977" s="143"/>
    </row>
    <row r="978" spans="1:19" ht="37.5">
      <c r="B978" s="194" t="s">
        <v>1004</v>
      </c>
      <c r="C978" s="139"/>
      <c r="D978" s="140"/>
      <c r="E978" s="139">
        <v>2.8704000000000001</v>
      </c>
      <c r="F978" s="139"/>
      <c r="G978" s="140"/>
      <c r="H978" s="193">
        <v>0.9</v>
      </c>
      <c r="I978" s="141">
        <f t="shared" si="39"/>
        <v>-1.9704000000000002</v>
      </c>
      <c r="J978" s="142">
        <f t="shared" si="40"/>
        <v>-218.93333333333334</v>
      </c>
      <c r="K978" s="175" t="s">
        <v>1005</v>
      </c>
    </row>
    <row r="979" spans="1:19" ht="37.5">
      <c r="B979" s="194" t="s">
        <v>130</v>
      </c>
      <c r="C979" s="139"/>
      <c r="D979" s="140"/>
      <c r="E979" s="139"/>
      <c r="F979" s="139"/>
      <c r="G979" s="140"/>
      <c r="H979" s="139">
        <v>1.8480000000000001</v>
      </c>
      <c r="I979" s="141">
        <f t="shared" si="39"/>
        <v>1.8480000000000001</v>
      </c>
      <c r="J979" s="142">
        <f t="shared" si="40"/>
        <v>100</v>
      </c>
      <c r="K979" s="175" t="s">
        <v>984</v>
      </c>
    </row>
    <row r="980" spans="1:19">
      <c r="B980" s="194"/>
      <c r="C980" s="139"/>
      <c r="D980" s="140"/>
      <c r="E980" s="139"/>
      <c r="F980" s="139"/>
      <c r="G980" s="140"/>
      <c r="H980" s="139"/>
      <c r="I980" s="141"/>
      <c r="J980" s="142"/>
      <c r="K980" s="175" t="s">
        <v>985</v>
      </c>
      <c r="N980" s="332"/>
    </row>
    <row r="981" spans="1:19">
      <c r="B981" s="194"/>
      <c r="C981" s="139"/>
      <c r="D981" s="140"/>
      <c r="E981" s="139"/>
      <c r="F981" s="139"/>
      <c r="G981" s="140"/>
      <c r="H981" s="139"/>
      <c r="I981" s="141"/>
      <c r="J981" s="142"/>
      <c r="K981" s="175" t="s">
        <v>986</v>
      </c>
      <c r="N981" s="332"/>
    </row>
    <row r="982" spans="1:19">
      <c r="B982" s="194"/>
      <c r="C982" s="139"/>
      <c r="D982" s="140"/>
      <c r="E982" s="139"/>
      <c r="F982" s="139"/>
      <c r="G982" s="140"/>
      <c r="H982" s="139"/>
      <c r="I982" s="141"/>
      <c r="J982" s="142"/>
      <c r="K982" s="175" t="s">
        <v>987</v>
      </c>
      <c r="N982" s="332"/>
    </row>
    <row r="983" spans="1:19">
      <c r="B983" s="194"/>
      <c r="C983" s="139"/>
      <c r="D983" s="140"/>
      <c r="E983" s="139"/>
      <c r="F983" s="139"/>
      <c r="G983" s="140"/>
      <c r="H983" s="139"/>
      <c r="I983" s="141"/>
      <c r="J983" s="142"/>
      <c r="K983" s="175"/>
    </row>
    <row r="984" spans="1:19" s="105" customFormat="1" ht="75">
      <c r="A984" s="106"/>
      <c r="B984" s="194" t="s">
        <v>114</v>
      </c>
      <c r="C984" s="139"/>
      <c r="D984" s="140"/>
      <c r="E984" s="139">
        <v>15.9381</v>
      </c>
      <c r="F984" s="139"/>
      <c r="G984" s="140"/>
      <c r="H984" s="193">
        <f>26.4966</f>
        <v>26.496600000000001</v>
      </c>
      <c r="I984" s="141">
        <f t="shared" si="39"/>
        <v>10.5585</v>
      </c>
      <c r="J984" s="142">
        <f t="shared" si="40"/>
        <v>39.84850886528838</v>
      </c>
      <c r="K984" s="175" t="s">
        <v>931</v>
      </c>
      <c r="N984" s="106"/>
      <c r="O984" s="106"/>
      <c r="P984" s="106"/>
      <c r="Q984" s="106"/>
      <c r="R984" s="106"/>
      <c r="S984" s="106"/>
    </row>
    <row r="985" spans="1:19" s="105" customFormat="1">
      <c r="A985" s="106"/>
      <c r="B985" s="175" t="s">
        <v>43</v>
      </c>
      <c r="C985" s="139"/>
      <c r="D985" s="140"/>
      <c r="E985" s="139">
        <f>SUM(E987:E1011)</f>
        <v>62.634200000000007</v>
      </c>
      <c r="F985" s="139"/>
      <c r="G985" s="140"/>
      <c r="H985" s="139">
        <f>SUM(H987:H1011)</f>
        <v>180.97020000000001</v>
      </c>
      <c r="I985" s="141">
        <f t="shared" si="39"/>
        <v>118.336</v>
      </c>
      <c r="J985" s="142">
        <f t="shared" si="40"/>
        <v>65.389771354620819</v>
      </c>
      <c r="K985" s="143"/>
      <c r="N985" s="106"/>
      <c r="O985" s="106"/>
      <c r="P985" s="106"/>
      <c r="Q985" s="106"/>
      <c r="R985" s="106"/>
      <c r="S985" s="106"/>
    </row>
    <row r="986" spans="1:19" s="105" customFormat="1">
      <c r="A986" s="106"/>
      <c r="B986" s="175" t="s">
        <v>19</v>
      </c>
      <c r="C986" s="139"/>
      <c r="D986" s="140"/>
      <c r="E986" s="139"/>
      <c r="F986" s="139"/>
      <c r="G986" s="140"/>
      <c r="H986" s="139"/>
      <c r="I986" s="141"/>
      <c r="J986" s="142"/>
      <c r="K986" s="143"/>
      <c r="N986" s="106"/>
      <c r="O986" s="106"/>
      <c r="P986" s="106"/>
      <c r="Q986" s="106"/>
      <c r="R986" s="106"/>
      <c r="S986" s="106"/>
    </row>
    <row r="987" spans="1:19" s="105" customFormat="1" ht="56.25">
      <c r="A987" s="106"/>
      <c r="B987" s="194" t="s">
        <v>85</v>
      </c>
      <c r="C987" s="139"/>
      <c r="D987" s="140"/>
      <c r="E987" s="139">
        <v>6.7</v>
      </c>
      <c r="F987" s="139"/>
      <c r="G987" s="140"/>
      <c r="H987" s="193">
        <v>31.857600000000001</v>
      </c>
      <c r="I987" s="141">
        <f t="shared" si="39"/>
        <v>25.157600000000002</v>
      </c>
      <c r="J987" s="142">
        <f t="shared" si="40"/>
        <v>78.96891165687309</v>
      </c>
      <c r="K987" s="175" t="s">
        <v>997</v>
      </c>
      <c r="L987" s="105">
        <f>SUM(L988:L991)</f>
        <v>31858000</v>
      </c>
      <c r="N987" s="106"/>
      <c r="O987" s="106"/>
      <c r="P987" s="106"/>
      <c r="Q987" s="106"/>
      <c r="R987" s="106"/>
      <c r="S987" s="106"/>
    </row>
    <row r="988" spans="1:19" s="105" customFormat="1" ht="37.5">
      <c r="A988" s="106"/>
      <c r="B988" s="194"/>
      <c r="C988" s="139"/>
      <c r="D988" s="140"/>
      <c r="E988" s="139"/>
      <c r="F988" s="139"/>
      <c r="G988" s="140"/>
      <c r="H988" s="139"/>
      <c r="I988" s="141"/>
      <c r="J988" s="142"/>
      <c r="K988" s="175" t="s">
        <v>998</v>
      </c>
      <c r="L988" s="105">
        <v>24504900</v>
      </c>
      <c r="N988" s="106"/>
      <c r="O988" s="106"/>
      <c r="P988" s="106"/>
      <c r="Q988" s="106"/>
      <c r="R988" s="106"/>
      <c r="S988" s="106"/>
    </row>
    <row r="989" spans="1:19" s="105" customFormat="1">
      <c r="A989" s="106"/>
      <c r="B989" s="194"/>
      <c r="C989" s="139"/>
      <c r="D989" s="140"/>
      <c r="E989" s="139"/>
      <c r="F989" s="139"/>
      <c r="G989" s="140"/>
      <c r="H989" s="139"/>
      <c r="I989" s="141"/>
      <c r="J989" s="142"/>
      <c r="K989" s="175" t="s">
        <v>999</v>
      </c>
      <c r="L989" s="105">
        <v>555800</v>
      </c>
      <c r="N989" s="106"/>
      <c r="O989" s="106"/>
      <c r="P989" s="106"/>
      <c r="Q989" s="106"/>
      <c r="R989" s="106"/>
      <c r="S989" s="106"/>
    </row>
    <row r="990" spans="1:19" s="105" customFormat="1" ht="37.5">
      <c r="A990" s="106"/>
      <c r="B990" s="194"/>
      <c r="C990" s="139"/>
      <c r="D990" s="140"/>
      <c r="E990" s="139"/>
      <c r="F990" s="139"/>
      <c r="G990" s="140"/>
      <c r="H990" s="139"/>
      <c r="I990" s="141"/>
      <c r="J990" s="142"/>
      <c r="K990" s="175" t="s">
        <v>1000</v>
      </c>
      <c r="L990" s="105">
        <v>5654900</v>
      </c>
      <c r="N990" s="106"/>
      <c r="O990" s="106"/>
      <c r="P990" s="106"/>
      <c r="Q990" s="106"/>
      <c r="R990" s="106"/>
      <c r="S990" s="106"/>
    </row>
    <row r="991" spans="1:19" s="105" customFormat="1">
      <c r="A991" s="106"/>
      <c r="B991" s="194"/>
      <c r="C991" s="139"/>
      <c r="D991" s="140"/>
      <c r="E991" s="139"/>
      <c r="F991" s="139"/>
      <c r="G991" s="140"/>
      <c r="H991" s="139"/>
      <c r="I991" s="141"/>
      <c r="J991" s="142"/>
      <c r="K991" s="175" t="s">
        <v>1001</v>
      </c>
      <c r="L991" s="105">
        <v>1142400</v>
      </c>
      <c r="N991" s="106"/>
      <c r="O991" s="106"/>
      <c r="P991" s="106"/>
      <c r="Q991" s="106"/>
      <c r="R991" s="106"/>
      <c r="S991" s="106"/>
    </row>
    <row r="992" spans="1:19" s="105" customFormat="1" ht="56.25">
      <c r="A992" s="106"/>
      <c r="B992" s="194" t="s">
        <v>98</v>
      </c>
      <c r="C992" s="139"/>
      <c r="D992" s="140"/>
      <c r="E992" s="139">
        <v>2.8849999999999998</v>
      </c>
      <c r="F992" s="139"/>
      <c r="G992" s="140"/>
      <c r="H992" s="193">
        <v>4.62</v>
      </c>
      <c r="I992" s="141">
        <f t="shared" si="39"/>
        <v>1.7350000000000003</v>
      </c>
      <c r="J992" s="142">
        <f t="shared" si="40"/>
        <v>37.554112554112557</v>
      </c>
      <c r="K992" s="175" t="s">
        <v>936</v>
      </c>
      <c r="N992" s="106"/>
      <c r="O992" s="106"/>
      <c r="P992" s="106"/>
      <c r="Q992" s="106"/>
      <c r="R992" s="106"/>
      <c r="S992" s="106"/>
    </row>
    <row r="993" spans="1:19" s="105" customFormat="1" ht="56.25">
      <c r="A993" s="106"/>
      <c r="B993" s="194" t="s">
        <v>99</v>
      </c>
      <c r="C993" s="139"/>
      <c r="D993" s="140"/>
      <c r="E993" s="139">
        <v>1.6910000000000001</v>
      </c>
      <c r="F993" s="139"/>
      <c r="G993" s="140"/>
      <c r="H993" s="193">
        <v>3.85</v>
      </c>
      <c r="I993" s="141">
        <f t="shared" si="39"/>
        <v>2.1589999999999998</v>
      </c>
      <c r="J993" s="142">
        <f t="shared" si="40"/>
        <v>56.077922077922068</v>
      </c>
      <c r="K993" s="175" t="s">
        <v>937</v>
      </c>
      <c r="N993" s="106"/>
      <c r="O993" s="106"/>
      <c r="P993" s="106"/>
      <c r="Q993" s="106"/>
      <c r="R993" s="106"/>
      <c r="S993" s="106"/>
    </row>
    <row r="994" spans="1:19" s="105" customFormat="1" ht="56.25">
      <c r="A994" s="106"/>
      <c r="B994" s="194" t="s">
        <v>100</v>
      </c>
      <c r="C994" s="139"/>
      <c r="D994" s="140"/>
      <c r="E994" s="139">
        <v>1.5</v>
      </c>
      <c r="F994" s="139"/>
      <c r="G994" s="140"/>
      <c r="H994" s="193">
        <v>1.925</v>
      </c>
      <c r="I994" s="141">
        <f t="shared" si="39"/>
        <v>0.42500000000000004</v>
      </c>
      <c r="J994" s="142">
        <f t="shared" si="40"/>
        <v>22.077922077922082</v>
      </c>
      <c r="K994" s="175" t="s">
        <v>949</v>
      </c>
      <c r="N994" s="106"/>
      <c r="O994" s="106"/>
      <c r="P994" s="106"/>
      <c r="Q994" s="106"/>
      <c r="R994" s="106"/>
      <c r="S994" s="106"/>
    </row>
    <row r="995" spans="1:19" s="105" customFormat="1" ht="37.5">
      <c r="A995" s="106"/>
      <c r="B995" s="194" t="s">
        <v>131</v>
      </c>
      <c r="C995" s="139"/>
      <c r="D995" s="140"/>
      <c r="E995" s="139">
        <v>6.8832000000000004</v>
      </c>
      <c r="F995" s="139"/>
      <c r="G995" s="140"/>
      <c r="H995" s="139">
        <v>8.2080000000000002</v>
      </c>
      <c r="I995" s="141">
        <f t="shared" si="39"/>
        <v>1.3247999999999998</v>
      </c>
      <c r="J995" s="142">
        <f t="shared" si="40"/>
        <v>16.140350877192976</v>
      </c>
      <c r="K995" s="175" t="s">
        <v>988</v>
      </c>
      <c r="L995" s="105">
        <f>+H996+H1011</f>
        <v>66.754999999999995</v>
      </c>
      <c r="N995" s="106"/>
      <c r="O995" s="106"/>
      <c r="P995" s="106"/>
      <c r="Q995" s="106"/>
      <c r="R995" s="106"/>
      <c r="S995" s="106"/>
    </row>
    <row r="996" spans="1:19" s="105" customFormat="1">
      <c r="A996" s="106"/>
      <c r="B996" s="194" t="s">
        <v>102</v>
      </c>
      <c r="C996" s="139"/>
      <c r="D996" s="140"/>
      <c r="E996" s="139">
        <v>20.475000000000001</v>
      </c>
      <c r="F996" s="139"/>
      <c r="G996" s="140"/>
      <c r="H996" s="139">
        <v>36.646999999999998</v>
      </c>
      <c r="I996" s="141">
        <f t="shared" si="39"/>
        <v>16.171999999999997</v>
      </c>
      <c r="J996" s="142">
        <f t="shared" si="40"/>
        <v>44.129123802766934</v>
      </c>
      <c r="K996" s="143" t="s">
        <v>938</v>
      </c>
      <c r="L996" s="105">
        <f>SUM(L997:L1003)</f>
        <v>36647000</v>
      </c>
      <c r="N996" s="106"/>
      <c r="O996" s="106"/>
      <c r="P996" s="106"/>
      <c r="Q996" s="106"/>
      <c r="R996" s="106"/>
      <c r="S996" s="106"/>
    </row>
    <row r="997" spans="1:19" s="105" customFormat="1" ht="37.5">
      <c r="A997" s="106"/>
      <c r="B997" s="194"/>
      <c r="C997" s="139"/>
      <c r="D997" s="140"/>
      <c r="E997" s="139"/>
      <c r="F997" s="139"/>
      <c r="G997" s="140"/>
      <c r="H997" s="139"/>
      <c r="I997" s="141"/>
      <c r="J997" s="142"/>
      <c r="K997" s="175" t="s">
        <v>939</v>
      </c>
      <c r="L997" s="105">
        <v>9240000</v>
      </c>
      <c r="N997" s="106"/>
      <c r="O997" s="106"/>
      <c r="P997" s="106"/>
      <c r="Q997" s="106"/>
      <c r="R997" s="106"/>
      <c r="S997" s="106"/>
    </row>
    <row r="998" spans="1:19" s="105" customFormat="1" ht="37.5">
      <c r="A998" s="106"/>
      <c r="B998" s="194"/>
      <c r="C998" s="139"/>
      <c r="D998" s="140"/>
      <c r="E998" s="139"/>
      <c r="F998" s="139"/>
      <c r="G998" s="140"/>
      <c r="H998" s="139"/>
      <c r="I998" s="141"/>
      <c r="J998" s="142"/>
      <c r="K998" s="175" t="s">
        <v>940</v>
      </c>
      <c r="L998" s="105">
        <v>18480000</v>
      </c>
      <c r="N998" s="106"/>
      <c r="O998" s="106"/>
      <c r="P998" s="106"/>
      <c r="Q998" s="106"/>
      <c r="R998" s="106"/>
      <c r="S998" s="106"/>
    </row>
    <row r="999" spans="1:19" s="105" customFormat="1" ht="37.5">
      <c r="A999" s="106"/>
      <c r="B999" s="194"/>
      <c r="C999" s="139"/>
      <c r="D999" s="140"/>
      <c r="E999" s="139"/>
      <c r="F999" s="139"/>
      <c r="G999" s="140"/>
      <c r="H999" s="139"/>
      <c r="I999" s="141"/>
      <c r="J999" s="142"/>
      <c r="K999" s="175" t="s">
        <v>947</v>
      </c>
      <c r="L999" s="105">
        <v>5000000</v>
      </c>
      <c r="N999" s="106"/>
      <c r="O999" s="106"/>
      <c r="P999" s="106"/>
      <c r="Q999" s="106"/>
      <c r="R999" s="106"/>
      <c r="S999" s="106"/>
    </row>
    <row r="1000" spans="1:19" s="105" customFormat="1">
      <c r="A1000" s="106"/>
      <c r="B1000" s="194"/>
      <c r="C1000" s="139"/>
      <c r="D1000" s="140"/>
      <c r="E1000" s="139"/>
      <c r="F1000" s="139"/>
      <c r="G1000" s="140"/>
      <c r="H1000" s="139"/>
      <c r="I1000" s="141"/>
      <c r="J1000" s="142"/>
      <c r="K1000" s="143" t="s">
        <v>950</v>
      </c>
      <c r="L1000" s="105">
        <v>462000</v>
      </c>
      <c r="N1000" s="106"/>
      <c r="O1000" s="106"/>
      <c r="P1000" s="106"/>
      <c r="Q1000" s="106"/>
      <c r="R1000" s="106"/>
      <c r="S1000" s="106"/>
    </row>
    <row r="1001" spans="1:19" s="105" customFormat="1">
      <c r="A1001" s="106"/>
      <c r="B1001" s="194"/>
      <c r="C1001" s="139"/>
      <c r="D1001" s="140"/>
      <c r="E1001" s="139"/>
      <c r="F1001" s="139"/>
      <c r="G1001" s="140"/>
      <c r="H1001" s="139"/>
      <c r="I1001" s="141"/>
      <c r="J1001" s="142"/>
      <c r="K1001" s="143" t="s">
        <v>951</v>
      </c>
      <c r="L1001" s="105">
        <v>1540000</v>
      </c>
      <c r="N1001" s="106"/>
      <c r="O1001" s="106"/>
      <c r="P1001" s="106"/>
      <c r="Q1001" s="106"/>
      <c r="R1001" s="106"/>
      <c r="S1001" s="106"/>
    </row>
    <row r="1002" spans="1:19" s="105" customFormat="1">
      <c r="A1002" s="106"/>
      <c r="B1002" s="194"/>
      <c r="C1002" s="139"/>
      <c r="D1002" s="140"/>
      <c r="E1002" s="139"/>
      <c r="F1002" s="139"/>
      <c r="G1002" s="140"/>
      <c r="H1002" s="139"/>
      <c r="I1002" s="141"/>
      <c r="J1002" s="142"/>
      <c r="K1002" s="143" t="s">
        <v>952</v>
      </c>
      <c r="L1002" s="105">
        <v>1540000</v>
      </c>
      <c r="N1002" s="106"/>
      <c r="O1002" s="106"/>
      <c r="P1002" s="106"/>
      <c r="Q1002" s="106"/>
      <c r="R1002" s="106"/>
      <c r="S1002" s="106"/>
    </row>
    <row r="1003" spans="1:19" s="105" customFormat="1" ht="56.25">
      <c r="A1003" s="106"/>
      <c r="B1003" s="194"/>
      <c r="C1003" s="139"/>
      <c r="D1003" s="140"/>
      <c r="E1003" s="139"/>
      <c r="F1003" s="139"/>
      <c r="G1003" s="140"/>
      <c r="H1003" s="139"/>
      <c r="I1003" s="141"/>
      <c r="J1003" s="142"/>
      <c r="K1003" s="175" t="s">
        <v>957</v>
      </c>
      <c r="L1003" s="105">
        <v>385000</v>
      </c>
      <c r="N1003" s="106"/>
      <c r="O1003" s="106"/>
      <c r="P1003" s="106"/>
      <c r="Q1003" s="106"/>
      <c r="R1003" s="106"/>
      <c r="S1003" s="106"/>
    </row>
    <row r="1004" spans="1:19" s="105" customFormat="1">
      <c r="A1004" s="106"/>
      <c r="B1004" s="194"/>
      <c r="C1004" s="139"/>
      <c r="D1004" s="140"/>
      <c r="E1004" s="139"/>
      <c r="F1004" s="139"/>
      <c r="G1004" s="140"/>
      <c r="H1004" s="139"/>
      <c r="I1004" s="141"/>
      <c r="J1004" s="142"/>
      <c r="K1004" s="143"/>
      <c r="N1004" s="106"/>
      <c r="O1004" s="106"/>
      <c r="P1004" s="106"/>
      <c r="Q1004" s="106"/>
      <c r="R1004" s="106"/>
      <c r="S1004" s="106"/>
    </row>
    <row r="1005" spans="1:19" s="105" customFormat="1" ht="56.25">
      <c r="A1005" s="106"/>
      <c r="B1005" s="194" t="s">
        <v>103</v>
      </c>
      <c r="C1005" s="139"/>
      <c r="D1005" s="140"/>
      <c r="E1005" s="139">
        <v>20</v>
      </c>
      <c r="F1005" s="139"/>
      <c r="G1005" s="140"/>
      <c r="H1005" s="193">
        <v>13.4511</v>
      </c>
      <c r="I1005" s="141">
        <f t="shared" si="39"/>
        <v>-6.5488999999999997</v>
      </c>
      <c r="J1005" s="142">
        <f t="shared" si="40"/>
        <v>-48.686724505802495</v>
      </c>
      <c r="K1005" s="175" t="s">
        <v>932</v>
      </c>
      <c r="N1005" s="106"/>
      <c r="O1005" s="106"/>
      <c r="P1005" s="106"/>
      <c r="Q1005" s="106"/>
      <c r="R1005" s="106"/>
      <c r="S1005" s="106"/>
    </row>
    <row r="1006" spans="1:19" s="105" customFormat="1" ht="56.25">
      <c r="A1006" s="106"/>
      <c r="B1006" s="194" t="s">
        <v>933</v>
      </c>
      <c r="C1006" s="139"/>
      <c r="D1006" s="140"/>
      <c r="E1006" s="139"/>
      <c r="F1006" s="139"/>
      <c r="G1006" s="140"/>
      <c r="H1006" s="139">
        <v>0.94650000000000001</v>
      </c>
      <c r="I1006" s="141">
        <f t="shared" si="39"/>
        <v>0.94650000000000001</v>
      </c>
      <c r="J1006" s="142">
        <f t="shared" si="40"/>
        <v>100</v>
      </c>
      <c r="K1006" s="175" t="s">
        <v>934</v>
      </c>
      <c r="N1006" s="106"/>
      <c r="O1006" s="106"/>
      <c r="P1006" s="106"/>
      <c r="Q1006" s="106"/>
      <c r="R1006" s="106"/>
      <c r="S1006" s="106"/>
    </row>
    <row r="1007" spans="1:19" s="105" customFormat="1" ht="93.75">
      <c r="A1007" s="106"/>
      <c r="B1007" s="194" t="s">
        <v>935</v>
      </c>
      <c r="C1007" s="139"/>
      <c r="D1007" s="140"/>
      <c r="E1007" s="139">
        <v>2.5</v>
      </c>
      <c r="F1007" s="139"/>
      <c r="G1007" s="140"/>
      <c r="H1007" s="193">
        <v>45.969000000000001</v>
      </c>
      <c r="I1007" s="141">
        <f t="shared" si="39"/>
        <v>43.469000000000001</v>
      </c>
      <c r="J1007" s="142">
        <f t="shared" si="40"/>
        <v>94.561552350497081</v>
      </c>
      <c r="K1007" s="175" t="s">
        <v>948</v>
      </c>
      <c r="N1007" s="106"/>
      <c r="O1007" s="106"/>
      <c r="P1007" s="106"/>
      <c r="Q1007" s="106"/>
      <c r="R1007" s="106"/>
      <c r="S1007" s="106"/>
    </row>
    <row r="1008" spans="1:19" s="105" customFormat="1" ht="37.5">
      <c r="A1008" s="106"/>
      <c r="B1008" s="194" t="s">
        <v>953</v>
      </c>
      <c r="C1008" s="139"/>
      <c r="D1008" s="140"/>
      <c r="E1008" s="139"/>
      <c r="F1008" s="139"/>
      <c r="G1008" s="140"/>
      <c r="H1008" s="193">
        <v>1.8480000000000001</v>
      </c>
      <c r="I1008" s="141">
        <f t="shared" si="39"/>
        <v>1.8480000000000001</v>
      </c>
      <c r="J1008" s="142">
        <f t="shared" si="40"/>
        <v>100</v>
      </c>
      <c r="K1008" s="175" t="s">
        <v>956</v>
      </c>
      <c r="N1008" s="106"/>
      <c r="O1008" s="106"/>
      <c r="P1008" s="106"/>
      <c r="Q1008" s="106"/>
      <c r="R1008" s="106"/>
      <c r="S1008" s="106"/>
    </row>
    <row r="1009" spans="1:19" s="105" customFormat="1">
      <c r="A1009" s="106"/>
      <c r="B1009" s="194" t="s">
        <v>954</v>
      </c>
      <c r="C1009" s="139"/>
      <c r="D1009" s="140"/>
      <c r="E1009" s="139"/>
      <c r="F1009" s="139"/>
      <c r="G1009" s="140"/>
      <c r="H1009" s="139">
        <v>1.54</v>
      </c>
      <c r="I1009" s="141">
        <f t="shared" si="39"/>
        <v>1.54</v>
      </c>
      <c r="J1009" s="142">
        <f t="shared" si="40"/>
        <v>100</v>
      </c>
      <c r="K1009" s="175" t="s">
        <v>955</v>
      </c>
      <c r="N1009" s="106"/>
      <c r="O1009" s="106"/>
      <c r="P1009" s="106"/>
      <c r="Q1009" s="106"/>
      <c r="R1009" s="106"/>
      <c r="S1009" s="106"/>
    </row>
    <row r="1010" spans="1:19" s="105" customFormat="1">
      <c r="A1010" s="106"/>
      <c r="B1010" s="194"/>
      <c r="C1010" s="139"/>
      <c r="D1010" s="140"/>
      <c r="E1010" s="139"/>
      <c r="F1010" s="139"/>
      <c r="G1010" s="140"/>
      <c r="H1010" s="139"/>
      <c r="I1010" s="141"/>
      <c r="J1010" s="142"/>
      <c r="K1010" s="175"/>
      <c r="N1010" s="106"/>
      <c r="O1010" s="106"/>
      <c r="P1010" s="106"/>
      <c r="Q1010" s="106"/>
      <c r="R1010" s="106"/>
      <c r="S1010" s="106"/>
    </row>
    <row r="1011" spans="1:19" s="105" customFormat="1" ht="40.5">
      <c r="A1011" s="106"/>
      <c r="B1011" s="175" t="s">
        <v>69</v>
      </c>
      <c r="C1011" s="139"/>
      <c r="D1011" s="140"/>
      <c r="E1011" s="139"/>
      <c r="F1011" s="139"/>
      <c r="G1011" s="140"/>
      <c r="H1011" s="139">
        <v>30.108000000000001</v>
      </c>
      <c r="I1011" s="141">
        <f t="shared" si="39"/>
        <v>30.108000000000001</v>
      </c>
      <c r="J1011" s="142">
        <f t="shared" si="40"/>
        <v>100</v>
      </c>
      <c r="K1011" s="143"/>
      <c r="N1011" s="106"/>
      <c r="O1011" s="106"/>
      <c r="P1011" s="106"/>
      <c r="Q1011" s="106"/>
      <c r="R1011" s="106"/>
      <c r="S1011" s="106"/>
    </row>
    <row r="1012" spans="1:19" s="105" customFormat="1">
      <c r="A1012" s="106"/>
      <c r="B1012" s="194" t="s">
        <v>2</v>
      </c>
      <c r="C1012" s="139"/>
      <c r="D1012" s="140"/>
      <c r="E1012" s="139"/>
      <c r="F1012" s="139"/>
      <c r="G1012" s="140"/>
      <c r="H1012" s="139"/>
      <c r="I1012" s="141"/>
      <c r="J1012" s="142"/>
      <c r="K1012" s="143"/>
      <c r="N1012" s="106"/>
      <c r="O1012" s="106"/>
      <c r="P1012" s="106"/>
      <c r="Q1012" s="106"/>
      <c r="R1012" s="106"/>
      <c r="S1012" s="106"/>
    </row>
    <row r="1013" spans="1:19" s="105" customFormat="1">
      <c r="A1013" s="106"/>
      <c r="B1013" s="194" t="s">
        <v>3</v>
      </c>
      <c r="C1013" s="139"/>
      <c r="D1013" s="140"/>
      <c r="E1013" s="139"/>
      <c r="F1013" s="139"/>
      <c r="G1013" s="140"/>
      <c r="H1013" s="139"/>
      <c r="I1013" s="141"/>
      <c r="J1013" s="142"/>
      <c r="K1013" s="143"/>
      <c r="L1013" s="105">
        <f>SUM(L1014:L1016)</f>
        <v>30108000</v>
      </c>
      <c r="N1013" s="106"/>
      <c r="O1013" s="106"/>
      <c r="P1013" s="106"/>
      <c r="Q1013" s="106"/>
      <c r="R1013" s="106"/>
      <c r="S1013" s="106"/>
    </row>
    <row r="1014" spans="1:19" s="105" customFormat="1" ht="75">
      <c r="A1014" s="106"/>
      <c r="B1014" s="194" t="s">
        <v>944</v>
      </c>
      <c r="C1014" s="139"/>
      <c r="D1014" s="140"/>
      <c r="E1014" s="139"/>
      <c r="F1014" s="139"/>
      <c r="G1014" s="140"/>
      <c r="H1014" s="139"/>
      <c r="I1014" s="141"/>
      <c r="J1014" s="142"/>
      <c r="K1014" s="175" t="s">
        <v>941</v>
      </c>
      <c r="L1014" s="105">
        <v>18480000</v>
      </c>
      <c r="N1014" s="106"/>
      <c r="O1014" s="106"/>
      <c r="P1014" s="106"/>
      <c r="Q1014" s="106"/>
      <c r="R1014" s="106"/>
      <c r="S1014" s="106"/>
    </row>
    <row r="1015" spans="1:19" s="105" customFormat="1" ht="75">
      <c r="A1015" s="106"/>
      <c r="B1015" s="194" t="s">
        <v>943</v>
      </c>
      <c r="C1015" s="139"/>
      <c r="D1015" s="140"/>
      <c r="E1015" s="139"/>
      <c r="F1015" s="139"/>
      <c r="G1015" s="140"/>
      <c r="H1015" s="139"/>
      <c r="I1015" s="141"/>
      <c r="J1015" s="142"/>
      <c r="K1015" s="175" t="s">
        <v>946</v>
      </c>
      <c r="L1015" s="105">
        <v>11088000</v>
      </c>
      <c r="N1015" s="106"/>
      <c r="O1015" s="106"/>
      <c r="P1015" s="106"/>
      <c r="Q1015" s="106"/>
      <c r="R1015" s="106"/>
      <c r="S1015" s="106"/>
    </row>
    <row r="1016" spans="1:19" s="105" customFormat="1" ht="93.75">
      <c r="A1016" s="106"/>
      <c r="B1016" s="194" t="s">
        <v>942</v>
      </c>
      <c r="C1016" s="139"/>
      <c r="D1016" s="140"/>
      <c r="E1016" s="139"/>
      <c r="F1016" s="139"/>
      <c r="G1016" s="140"/>
      <c r="H1016" s="139"/>
      <c r="I1016" s="141"/>
      <c r="J1016" s="142"/>
      <c r="K1016" s="175" t="s">
        <v>945</v>
      </c>
      <c r="L1016" s="105">
        <v>540000</v>
      </c>
      <c r="N1016" s="106"/>
      <c r="O1016" s="106"/>
      <c r="P1016" s="106"/>
      <c r="Q1016" s="106"/>
      <c r="R1016" s="106"/>
      <c r="S1016" s="106"/>
    </row>
    <row r="1017" spans="1:19" s="105" customFormat="1">
      <c r="A1017" s="106"/>
      <c r="B1017" s="194"/>
      <c r="C1017" s="139"/>
      <c r="D1017" s="140"/>
      <c r="E1017" s="139"/>
      <c r="F1017" s="139"/>
      <c r="G1017" s="140"/>
      <c r="H1017" s="139"/>
      <c r="I1017" s="141"/>
      <c r="J1017" s="142"/>
      <c r="K1017" s="143"/>
      <c r="N1017" s="106"/>
      <c r="O1017" s="106"/>
      <c r="P1017" s="106"/>
      <c r="Q1017" s="106"/>
      <c r="R1017" s="106"/>
      <c r="S1017" s="106"/>
    </row>
    <row r="1018" spans="1:19" s="105" customFormat="1">
      <c r="A1018" s="106"/>
      <c r="B1018" s="175" t="s">
        <v>22</v>
      </c>
      <c r="C1018" s="139"/>
      <c r="D1018" s="140"/>
      <c r="E1018" s="139"/>
      <c r="F1018" s="139"/>
      <c r="G1018" s="140"/>
      <c r="H1018" s="139"/>
      <c r="I1018" s="141"/>
      <c r="J1018" s="142"/>
      <c r="K1018" s="143"/>
      <c r="N1018" s="106"/>
      <c r="O1018" s="106"/>
      <c r="P1018" s="106"/>
      <c r="Q1018" s="106"/>
      <c r="R1018" s="106"/>
      <c r="S1018" s="106"/>
    </row>
    <row r="1019" spans="1:19" s="105" customFormat="1">
      <c r="A1019" s="106"/>
      <c r="B1019" s="194" t="s">
        <v>21</v>
      </c>
      <c r="C1019" s="139"/>
      <c r="D1019" s="140"/>
      <c r="E1019" s="139"/>
      <c r="F1019" s="139"/>
      <c r="G1019" s="140"/>
      <c r="H1019" s="139"/>
      <c r="I1019" s="141"/>
      <c r="J1019" s="142"/>
      <c r="K1019" s="143"/>
      <c r="N1019" s="106"/>
      <c r="O1019" s="106"/>
      <c r="P1019" s="106"/>
      <c r="Q1019" s="106"/>
      <c r="R1019" s="106"/>
      <c r="S1019" s="106"/>
    </row>
    <row r="1020" spans="1:19" s="105" customFormat="1">
      <c r="A1020" s="106"/>
      <c r="B1020" s="175" t="s">
        <v>20</v>
      </c>
      <c r="C1020" s="139"/>
      <c r="D1020" s="140"/>
      <c r="E1020" s="139"/>
      <c r="F1020" s="139"/>
      <c r="G1020" s="140"/>
      <c r="H1020" s="139"/>
      <c r="I1020" s="141"/>
      <c r="J1020" s="142"/>
      <c r="K1020" s="143"/>
      <c r="N1020" s="106"/>
      <c r="O1020" s="106"/>
      <c r="P1020" s="106"/>
      <c r="Q1020" s="106"/>
      <c r="R1020" s="106"/>
      <c r="S1020" s="106"/>
    </row>
    <row r="1021" spans="1:19" s="105" customFormat="1">
      <c r="A1021" s="106"/>
      <c r="B1021" s="194" t="s">
        <v>17</v>
      </c>
      <c r="C1021" s="139"/>
      <c r="D1021" s="140"/>
      <c r="E1021" s="139"/>
      <c r="F1021" s="139"/>
      <c r="G1021" s="140"/>
      <c r="H1021" s="139"/>
      <c r="I1021" s="141"/>
      <c r="J1021" s="142"/>
      <c r="K1021" s="143"/>
      <c r="N1021" s="106"/>
      <c r="O1021" s="106"/>
      <c r="P1021" s="106"/>
      <c r="Q1021" s="106"/>
      <c r="R1021" s="106"/>
      <c r="S1021" s="106"/>
    </row>
    <row r="1022" spans="1:19" s="105" customFormat="1">
      <c r="A1022" s="106"/>
      <c r="B1022" s="175" t="s">
        <v>44</v>
      </c>
      <c r="C1022" s="139"/>
      <c r="D1022" s="140"/>
      <c r="E1022" s="139">
        <f>SUM(E1023:E1037)</f>
        <v>71.994399999999999</v>
      </c>
      <c r="F1022" s="139"/>
      <c r="G1022" s="140"/>
      <c r="H1022" s="139">
        <f>SUM(H1023:H1037)</f>
        <v>87.751000000000005</v>
      </c>
      <c r="I1022" s="141">
        <f t="shared" si="39"/>
        <v>15.756600000000006</v>
      </c>
      <c r="J1022" s="142">
        <f t="shared" si="40"/>
        <v>17.956034689063376</v>
      </c>
      <c r="K1022" s="143"/>
      <c r="N1022" s="106"/>
      <c r="O1022" s="106"/>
      <c r="P1022" s="106"/>
      <c r="Q1022" s="106"/>
      <c r="R1022" s="106"/>
      <c r="S1022" s="106"/>
    </row>
    <row r="1023" spans="1:19" s="105" customFormat="1">
      <c r="A1023" s="106"/>
      <c r="B1023" s="194" t="s">
        <v>90</v>
      </c>
      <c r="C1023" s="139"/>
      <c r="D1023" s="140"/>
      <c r="E1023" s="139">
        <v>3</v>
      </c>
      <c r="F1023" s="139"/>
      <c r="G1023" s="140"/>
      <c r="H1023" s="139">
        <f>4.05+0.777</f>
        <v>4.827</v>
      </c>
      <c r="I1023" s="141">
        <f t="shared" si="39"/>
        <v>1.827</v>
      </c>
      <c r="J1023" s="142">
        <f t="shared" si="40"/>
        <v>37.849596022374143</v>
      </c>
      <c r="K1023" s="143" t="s">
        <v>958</v>
      </c>
      <c r="N1023" s="106"/>
      <c r="O1023" s="106"/>
      <c r="P1023" s="106"/>
      <c r="Q1023" s="106"/>
      <c r="R1023" s="106"/>
      <c r="S1023" s="106"/>
    </row>
    <row r="1024" spans="1:19" s="105" customFormat="1" ht="56.25">
      <c r="A1024" s="106"/>
      <c r="B1024" s="194" t="s">
        <v>91</v>
      </c>
      <c r="C1024" s="139"/>
      <c r="D1024" s="140"/>
      <c r="E1024" s="139">
        <v>15</v>
      </c>
      <c r="F1024" s="139"/>
      <c r="G1024" s="140"/>
      <c r="H1024" s="139">
        <v>11.087999999999999</v>
      </c>
      <c r="I1024" s="141">
        <f t="shared" si="39"/>
        <v>-3.9120000000000008</v>
      </c>
      <c r="J1024" s="142">
        <f t="shared" si="40"/>
        <v>-35.28138528138529</v>
      </c>
      <c r="K1024" s="175" t="s">
        <v>971</v>
      </c>
      <c r="N1024" s="106"/>
      <c r="O1024" s="106"/>
      <c r="P1024" s="106"/>
      <c r="Q1024" s="106"/>
      <c r="R1024" s="106"/>
      <c r="S1024" s="106"/>
    </row>
    <row r="1025" spans="1:19" s="105" customFormat="1" ht="37.5">
      <c r="A1025" s="106"/>
      <c r="B1025" s="194" t="s">
        <v>134</v>
      </c>
      <c r="C1025" s="139"/>
      <c r="D1025" s="140"/>
      <c r="E1025" s="139">
        <v>1</v>
      </c>
      <c r="F1025" s="139"/>
      <c r="G1025" s="140"/>
      <c r="H1025" s="139">
        <v>1.1499999999999999</v>
      </c>
      <c r="I1025" s="141">
        <f t="shared" si="39"/>
        <v>0.14999999999999991</v>
      </c>
      <c r="J1025" s="142">
        <f t="shared" si="40"/>
        <v>13.043478260869559</v>
      </c>
      <c r="K1025" s="175" t="s">
        <v>968</v>
      </c>
      <c r="N1025" s="106"/>
      <c r="O1025" s="106"/>
      <c r="P1025" s="106"/>
      <c r="Q1025" s="106"/>
      <c r="R1025" s="106"/>
      <c r="S1025" s="106"/>
    </row>
    <row r="1026" spans="1:19" s="105" customFormat="1" ht="37.5">
      <c r="A1026" s="106"/>
      <c r="B1026" s="194" t="s">
        <v>135</v>
      </c>
      <c r="C1026" s="139"/>
      <c r="D1026" s="140"/>
      <c r="E1026" s="139">
        <v>1.6180000000000001</v>
      </c>
      <c r="F1026" s="139"/>
      <c r="G1026" s="140"/>
      <c r="H1026" s="139">
        <v>5.8520000000000003</v>
      </c>
      <c r="I1026" s="141">
        <f t="shared" si="39"/>
        <v>4.234</v>
      </c>
      <c r="J1026" s="142">
        <f t="shared" si="40"/>
        <v>72.351332877648659</v>
      </c>
      <c r="K1026" s="175" t="s">
        <v>959</v>
      </c>
      <c r="N1026" s="106"/>
      <c r="O1026" s="106"/>
      <c r="P1026" s="106"/>
      <c r="Q1026" s="106"/>
      <c r="R1026" s="106"/>
      <c r="S1026" s="106"/>
    </row>
    <row r="1027" spans="1:19" s="105" customFormat="1">
      <c r="A1027" s="106"/>
      <c r="B1027" s="194" t="s">
        <v>136</v>
      </c>
      <c r="C1027" s="139"/>
      <c r="D1027" s="140"/>
      <c r="E1027" s="139">
        <v>0.48499999999999999</v>
      </c>
      <c r="F1027" s="139"/>
      <c r="G1027" s="140"/>
      <c r="H1027" s="139">
        <v>0.77</v>
      </c>
      <c r="I1027" s="141">
        <f t="shared" si="39"/>
        <v>0.28500000000000003</v>
      </c>
      <c r="J1027" s="142">
        <f t="shared" si="40"/>
        <v>37.012987012987018</v>
      </c>
      <c r="K1027" s="143" t="s">
        <v>970</v>
      </c>
      <c r="N1027" s="106"/>
      <c r="O1027" s="106"/>
      <c r="P1027" s="106"/>
      <c r="Q1027" s="106"/>
      <c r="R1027" s="106"/>
      <c r="S1027" s="106"/>
    </row>
    <row r="1028" spans="1:19" s="105" customFormat="1" ht="75">
      <c r="A1028" s="106"/>
      <c r="B1028" s="194" t="s">
        <v>188</v>
      </c>
      <c r="C1028" s="139"/>
      <c r="D1028" s="140"/>
      <c r="E1028" s="139">
        <v>1.5</v>
      </c>
      <c r="F1028" s="139"/>
      <c r="G1028" s="140"/>
      <c r="H1028" s="139">
        <v>2.31</v>
      </c>
      <c r="I1028" s="141">
        <f t="shared" si="39"/>
        <v>0.81</v>
      </c>
      <c r="J1028" s="142">
        <f t="shared" si="40"/>
        <v>35.064935064935064</v>
      </c>
      <c r="K1028" s="175" t="s">
        <v>969</v>
      </c>
      <c r="N1028" s="106"/>
      <c r="O1028" s="106"/>
      <c r="P1028" s="106"/>
      <c r="Q1028" s="106"/>
      <c r="R1028" s="106"/>
      <c r="S1028" s="106"/>
    </row>
    <row r="1029" spans="1:19" s="105" customFormat="1" ht="37.5">
      <c r="A1029" s="106"/>
      <c r="B1029" s="194" t="s">
        <v>139</v>
      </c>
      <c r="C1029" s="139"/>
      <c r="D1029" s="140"/>
      <c r="E1029" s="139">
        <v>44.820399999999999</v>
      </c>
      <c r="F1029" s="139"/>
      <c r="G1029" s="140"/>
      <c r="H1029" s="139">
        <v>50.588999999999999</v>
      </c>
      <c r="I1029" s="141">
        <f t="shared" si="39"/>
        <v>5.7685999999999993</v>
      </c>
      <c r="J1029" s="142">
        <f t="shared" si="40"/>
        <v>11.402874142600169</v>
      </c>
      <c r="K1029" s="175" t="s">
        <v>961</v>
      </c>
      <c r="N1029" s="106"/>
      <c r="O1029" s="106"/>
      <c r="P1029" s="106"/>
      <c r="Q1029" s="106"/>
      <c r="R1029" s="106"/>
      <c r="S1029" s="106"/>
    </row>
    <row r="1030" spans="1:19" s="105" customFormat="1" ht="37.5">
      <c r="A1030" s="106"/>
      <c r="B1030" s="194" t="s">
        <v>189</v>
      </c>
      <c r="C1030" s="139"/>
      <c r="D1030" s="140"/>
      <c r="E1030" s="139">
        <v>4.5709999999999997</v>
      </c>
      <c r="F1030" s="139"/>
      <c r="G1030" s="140"/>
      <c r="H1030" s="139">
        <v>2.31</v>
      </c>
      <c r="I1030" s="141">
        <f t="shared" si="39"/>
        <v>-2.2609999999999997</v>
      </c>
      <c r="J1030" s="142">
        <f t="shared" si="40"/>
        <v>-97.878787878787861</v>
      </c>
      <c r="K1030" s="175" t="s">
        <v>960</v>
      </c>
      <c r="N1030" s="106"/>
      <c r="O1030" s="106"/>
      <c r="P1030" s="106"/>
      <c r="Q1030" s="106"/>
      <c r="R1030" s="106"/>
      <c r="S1030" s="106"/>
    </row>
    <row r="1031" spans="1:19" s="105" customFormat="1" ht="37.5">
      <c r="A1031" s="106"/>
      <c r="B1031" s="194" t="s">
        <v>963</v>
      </c>
      <c r="C1031" s="139"/>
      <c r="D1031" s="140"/>
      <c r="E1031" s="139"/>
      <c r="F1031" s="139"/>
      <c r="G1031" s="140"/>
      <c r="H1031" s="139">
        <v>0.77</v>
      </c>
      <c r="I1031" s="141">
        <f t="shared" si="39"/>
        <v>0.77</v>
      </c>
      <c r="J1031" s="142">
        <f t="shared" si="40"/>
        <v>100</v>
      </c>
      <c r="K1031" s="175" t="s">
        <v>962</v>
      </c>
      <c r="N1031" s="106"/>
      <c r="O1031" s="106"/>
      <c r="P1031" s="106"/>
      <c r="Q1031" s="106"/>
      <c r="R1031" s="106"/>
      <c r="S1031" s="106"/>
    </row>
    <row r="1032" spans="1:19" s="105" customFormat="1" ht="37.5">
      <c r="A1032" s="106"/>
      <c r="B1032" s="194" t="s">
        <v>964</v>
      </c>
      <c r="C1032" s="139"/>
      <c r="D1032" s="140"/>
      <c r="E1032" s="139"/>
      <c r="F1032" s="139"/>
      <c r="G1032" s="140"/>
      <c r="H1032" s="139">
        <v>0.77</v>
      </c>
      <c r="I1032" s="141">
        <f t="shared" si="39"/>
        <v>0.77</v>
      </c>
      <c r="J1032" s="142">
        <f t="shared" si="40"/>
        <v>100</v>
      </c>
      <c r="K1032" s="175" t="s">
        <v>965</v>
      </c>
      <c r="N1032" s="106"/>
      <c r="O1032" s="106"/>
      <c r="P1032" s="106"/>
      <c r="Q1032" s="106"/>
      <c r="R1032" s="106"/>
      <c r="S1032" s="106"/>
    </row>
    <row r="1033" spans="1:19" s="105" customFormat="1" ht="37.5">
      <c r="A1033" s="106"/>
      <c r="B1033" s="194" t="s">
        <v>966</v>
      </c>
      <c r="C1033" s="139"/>
      <c r="D1033" s="140"/>
      <c r="E1033" s="139"/>
      <c r="F1033" s="139"/>
      <c r="G1033" s="140"/>
      <c r="H1033" s="139">
        <v>1.155</v>
      </c>
      <c r="I1033" s="141">
        <f t="shared" si="39"/>
        <v>1.155</v>
      </c>
      <c r="J1033" s="142">
        <f t="shared" si="40"/>
        <v>100</v>
      </c>
      <c r="K1033" s="175" t="s">
        <v>967</v>
      </c>
      <c r="N1033" s="106"/>
      <c r="O1033" s="106"/>
      <c r="P1033" s="106"/>
      <c r="Q1033" s="106"/>
      <c r="R1033" s="106"/>
      <c r="S1033" s="106"/>
    </row>
    <row r="1034" spans="1:19" s="105" customFormat="1" ht="37.5">
      <c r="A1034" s="106"/>
      <c r="B1034" s="194" t="s">
        <v>972</v>
      </c>
      <c r="C1034" s="139"/>
      <c r="D1034" s="140"/>
      <c r="E1034" s="139"/>
      <c r="F1034" s="139"/>
      <c r="G1034" s="140"/>
      <c r="H1034" s="139">
        <v>4.62</v>
      </c>
      <c r="I1034" s="141">
        <f t="shared" si="39"/>
        <v>4.62</v>
      </c>
      <c r="J1034" s="142">
        <f t="shared" si="40"/>
        <v>100</v>
      </c>
      <c r="K1034" s="175" t="s">
        <v>973</v>
      </c>
      <c r="N1034" s="106"/>
      <c r="O1034" s="106"/>
      <c r="P1034" s="106"/>
      <c r="Q1034" s="106"/>
      <c r="R1034" s="106"/>
      <c r="S1034" s="106"/>
    </row>
    <row r="1035" spans="1:19" s="105" customFormat="1" ht="37.5">
      <c r="A1035" s="106"/>
      <c r="B1035" s="194" t="s">
        <v>974</v>
      </c>
      <c r="C1035" s="139"/>
      <c r="D1035" s="140"/>
      <c r="E1035" s="139"/>
      <c r="F1035" s="139"/>
      <c r="G1035" s="140"/>
      <c r="H1035" s="139">
        <v>0.38500000000000001</v>
      </c>
      <c r="I1035" s="141">
        <f t="shared" si="39"/>
        <v>0.38500000000000001</v>
      </c>
      <c r="J1035" s="142">
        <f t="shared" si="40"/>
        <v>100</v>
      </c>
      <c r="K1035" s="175" t="s">
        <v>975</v>
      </c>
      <c r="N1035" s="106"/>
      <c r="O1035" s="106"/>
      <c r="P1035" s="106"/>
      <c r="Q1035" s="106"/>
      <c r="R1035" s="106"/>
      <c r="S1035" s="106"/>
    </row>
    <row r="1036" spans="1:19" s="105" customFormat="1" ht="37.5">
      <c r="A1036" s="106"/>
      <c r="B1036" s="194" t="s">
        <v>976</v>
      </c>
      <c r="C1036" s="139"/>
      <c r="D1036" s="140"/>
      <c r="E1036" s="139"/>
      <c r="F1036" s="139"/>
      <c r="G1036" s="140"/>
      <c r="H1036" s="139">
        <v>0.38500000000000001</v>
      </c>
      <c r="I1036" s="141">
        <f t="shared" si="39"/>
        <v>0.38500000000000001</v>
      </c>
      <c r="J1036" s="142">
        <f t="shared" si="40"/>
        <v>100</v>
      </c>
      <c r="K1036" s="175" t="s">
        <v>977</v>
      </c>
      <c r="N1036" s="106"/>
      <c r="O1036" s="106"/>
      <c r="P1036" s="106"/>
      <c r="Q1036" s="106"/>
      <c r="R1036" s="106"/>
      <c r="S1036" s="106"/>
    </row>
    <row r="1037" spans="1:19" s="105" customFormat="1" ht="37.5">
      <c r="A1037" s="106"/>
      <c r="B1037" s="194" t="s">
        <v>978</v>
      </c>
      <c r="C1037" s="139"/>
      <c r="D1037" s="140"/>
      <c r="E1037" s="139"/>
      <c r="F1037" s="139"/>
      <c r="G1037" s="140"/>
      <c r="H1037" s="139">
        <v>0.77</v>
      </c>
      <c r="I1037" s="141">
        <f t="shared" ref="I1037:I1061" si="41">+H1037-E1037</f>
        <v>0.77</v>
      </c>
      <c r="J1037" s="142">
        <f t="shared" ref="J1037:J1059" si="42">+I1037*100/H1037</f>
        <v>100</v>
      </c>
      <c r="K1037" s="175" t="s">
        <v>979</v>
      </c>
      <c r="N1037" s="106"/>
      <c r="O1037" s="106"/>
      <c r="P1037" s="106"/>
      <c r="Q1037" s="106"/>
      <c r="R1037" s="106"/>
      <c r="S1037" s="106"/>
    </row>
    <row r="1038" spans="1:19" s="105" customFormat="1">
      <c r="A1038" s="106"/>
      <c r="B1038" s="175" t="s">
        <v>45</v>
      </c>
      <c r="C1038" s="139"/>
      <c r="D1038" s="140"/>
      <c r="E1038" s="139">
        <f>SUM(E1039:E1043)</f>
        <v>20.476599999999998</v>
      </c>
      <c r="F1038" s="139"/>
      <c r="G1038" s="140"/>
      <c r="H1038" s="139">
        <f>SUM(H1039:H1043)</f>
        <v>19.404</v>
      </c>
      <c r="I1038" s="141">
        <f t="shared" si="41"/>
        <v>-1.0725999999999978</v>
      </c>
      <c r="J1038" s="142">
        <f t="shared" si="42"/>
        <v>-5.5277262420119451</v>
      </c>
      <c r="K1038" s="143"/>
      <c r="N1038" s="106"/>
      <c r="O1038" s="106"/>
      <c r="P1038" s="106"/>
      <c r="Q1038" s="106"/>
      <c r="R1038" s="106"/>
      <c r="S1038" s="106"/>
    </row>
    <row r="1039" spans="1:19" s="105" customFormat="1" ht="37.5">
      <c r="A1039" s="106"/>
      <c r="B1039" s="194" t="s">
        <v>106</v>
      </c>
      <c r="C1039" s="139"/>
      <c r="D1039" s="140"/>
      <c r="E1039" s="139">
        <v>3.6225999999999998</v>
      </c>
      <c r="F1039" s="139"/>
      <c r="G1039" s="140"/>
      <c r="H1039" s="139">
        <v>2.7719999999999998</v>
      </c>
      <c r="I1039" s="141">
        <f t="shared" si="41"/>
        <v>-0.85060000000000002</v>
      </c>
      <c r="J1039" s="142">
        <f t="shared" si="42"/>
        <v>-30.685425685425688</v>
      </c>
      <c r="K1039" s="175" t="s">
        <v>980</v>
      </c>
      <c r="N1039" s="106"/>
      <c r="O1039" s="106"/>
      <c r="P1039" s="106"/>
      <c r="Q1039" s="106"/>
      <c r="R1039" s="106"/>
      <c r="S1039" s="106"/>
    </row>
    <row r="1040" spans="1:19" s="105" customFormat="1" ht="37.5">
      <c r="A1040" s="106"/>
      <c r="B1040" s="194" t="s">
        <v>107</v>
      </c>
      <c r="C1040" s="139"/>
      <c r="D1040" s="140"/>
      <c r="E1040" s="139">
        <v>4.3280000000000003</v>
      </c>
      <c r="F1040" s="139"/>
      <c r="G1040" s="140"/>
      <c r="H1040" s="139">
        <v>3.6960000000000002</v>
      </c>
      <c r="I1040" s="141">
        <f t="shared" si="41"/>
        <v>-0.63200000000000012</v>
      </c>
      <c r="J1040" s="142">
        <f t="shared" si="42"/>
        <v>-17.0995670995671</v>
      </c>
      <c r="K1040" s="175" t="s">
        <v>981</v>
      </c>
      <c r="N1040" s="106"/>
      <c r="O1040" s="106"/>
      <c r="P1040" s="106"/>
      <c r="Q1040" s="106"/>
      <c r="R1040" s="106"/>
      <c r="S1040" s="106"/>
    </row>
    <row r="1041" spans="1:19" s="105" customFormat="1">
      <c r="A1041" s="106"/>
      <c r="B1041" s="194" t="s">
        <v>108</v>
      </c>
      <c r="C1041" s="139"/>
      <c r="D1041" s="140"/>
      <c r="E1041" s="139"/>
      <c r="F1041" s="139"/>
      <c r="G1041" s="140"/>
      <c r="H1041" s="139">
        <v>0.308</v>
      </c>
      <c r="I1041" s="141">
        <f t="shared" si="41"/>
        <v>0.308</v>
      </c>
      <c r="J1041" s="142">
        <f t="shared" si="42"/>
        <v>100</v>
      </c>
      <c r="K1041" s="143" t="s">
        <v>982</v>
      </c>
      <c r="N1041" s="106"/>
      <c r="O1041" s="106"/>
      <c r="P1041" s="106"/>
      <c r="Q1041" s="106"/>
      <c r="R1041" s="106"/>
      <c r="S1041" s="106"/>
    </row>
    <row r="1042" spans="1:19" s="105" customFormat="1">
      <c r="A1042" s="106"/>
      <c r="B1042" s="194" t="s">
        <v>109</v>
      </c>
      <c r="C1042" s="139"/>
      <c r="D1042" s="140"/>
      <c r="E1042" s="139">
        <v>12.526</v>
      </c>
      <c r="F1042" s="139"/>
      <c r="G1042" s="140"/>
      <c r="H1042" s="139">
        <f>1.54+11.088</f>
        <v>12.628</v>
      </c>
      <c r="I1042" s="141">
        <f t="shared" si="41"/>
        <v>0.10200000000000031</v>
      </c>
      <c r="J1042" s="142">
        <f t="shared" si="42"/>
        <v>0.80772885650934678</v>
      </c>
      <c r="K1042" s="143" t="s">
        <v>983</v>
      </c>
      <c r="N1042" s="106"/>
      <c r="O1042" s="106"/>
      <c r="P1042" s="106"/>
      <c r="Q1042" s="106"/>
      <c r="R1042" s="106"/>
      <c r="S1042" s="106"/>
    </row>
    <row r="1043" spans="1:19" s="105" customFormat="1">
      <c r="A1043" s="106"/>
      <c r="B1043" s="194" t="s">
        <v>111</v>
      </c>
      <c r="C1043" s="139"/>
      <c r="D1043" s="140"/>
      <c r="E1043" s="139"/>
      <c r="F1043" s="139"/>
      <c r="G1043" s="140"/>
      <c r="H1043" s="139"/>
      <c r="I1043" s="141"/>
      <c r="J1043" s="142"/>
      <c r="K1043" s="143"/>
      <c r="N1043" s="106"/>
      <c r="O1043" s="106"/>
      <c r="P1043" s="106"/>
      <c r="Q1043" s="106"/>
      <c r="R1043" s="106"/>
      <c r="S1043" s="106"/>
    </row>
    <row r="1044" spans="1:19" s="105" customFormat="1">
      <c r="A1044" s="106"/>
      <c r="B1044" s="175" t="s">
        <v>46</v>
      </c>
      <c r="C1044" s="139"/>
      <c r="D1044" s="140"/>
      <c r="E1044" s="139">
        <f>+E1045+E1056</f>
        <v>396.0856</v>
      </c>
      <c r="F1044" s="139"/>
      <c r="G1044" s="140"/>
      <c r="H1044" s="139">
        <f>+H1045+H1056</f>
        <v>722.76189999999997</v>
      </c>
      <c r="I1044" s="141">
        <f t="shared" si="41"/>
        <v>326.67629999999997</v>
      </c>
      <c r="J1044" s="142">
        <f t="shared" si="42"/>
        <v>45.198328799567328</v>
      </c>
      <c r="K1044" s="143"/>
      <c r="N1044" s="106"/>
      <c r="O1044" s="106"/>
      <c r="P1044" s="106"/>
      <c r="Q1044" s="106"/>
      <c r="R1044" s="106"/>
      <c r="S1044" s="106"/>
    </row>
    <row r="1045" spans="1:19" s="105" customFormat="1">
      <c r="A1045" s="106"/>
      <c r="B1045" s="175" t="s">
        <v>47</v>
      </c>
      <c r="C1045" s="139"/>
      <c r="D1045" s="140"/>
      <c r="E1045" s="139">
        <f>+E1047</f>
        <v>16.138000000000002</v>
      </c>
      <c r="F1045" s="139"/>
      <c r="G1045" s="140"/>
      <c r="H1045" s="139">
        <f>+H1047</f>
        <v>77.641900000000007</v>
      </c>
      <c r="I1045" s="141">
        <f t="shared" si="41"/>
        <v>61.503900000000002</v>
      </c>
      <c r="J1045" s="142">
        <f t="shared" si="42"/>
        <v>79.214831167191946</v>
      </c>
      <c r="K1045" s="143"/>
      <c r="N1045" s="106"/>
      <c r="O1045" s="106"/>
      <c r="P1045" s="106"/>
      <c r="Q1045" s="106"/>
      <c r="R1045" s="106"/>
      <c r="S1045" s="106"/>
    </row>
    <row r="1046" spans="1:19" s="105" customFormat="1">
      <c r="A1046" s="106"/>
      <c r="B1046" s="175" t="s">
        <v>19</v>
      </c>
      <c r="C1046" s="139"/>
      <c r="D1046" s="140"/>
      <c r="E1046" s="139"/>
      <c r="F1046" s="139"/>
      <c r="G1046" s="140"/>
      <c r="H1046" s="139"/>
      <c r="I1046" s="139"/>
      <c r="J1046" s="139"/>
      <c r="K1046" s="143"/>
      <c r="N1046" s="106"/>
      <c r="O1046" s="106"/>
      <c r="P1046" s="106"/>
      <c r="Q1046" s="106"/>
      <c r="R1046" s="106"/>
      <c r="S1046" s="106"/>
    </row>
    <row r="1047" spans="1:19" s="105" customFormat="1">
      <c r="A1047" s="106"/>
      <c r="B1047" s="175" t="s">
        <v>110</v>
      </c>
      <c r="C1047" s="139"/>
      <c r="D1047" s="140"/>
      <c r="E1047" s="139">
        <v>16.138000000000002</v>
      </c>
      <c r="F1047" s="139"/>
      <c r="G1047" s="140"/>
      <c r="H1047" s="139">
        <f>+H1048</f>
        <v>77.641900000000007</v>
      </c>
      <c r="I1047" s="141">
        <f t="shared" si="41"/>
        <v>61.503900000000002</v>
      </c>
      <c r="J1047" s="142">
        <f t="shared" si="42"/>
        <v>79.214831167191946</v>
      </c>
      <c r="K1047" s="143"/>
      <c r="N1047" s="106"/>
      <c r="O1047" s="106"/>
      <c r="P1047" s="106"/>
      <c r="Q1047" s="106"/>
      <c r="R1047" s="106"/>
      <c r="S1047" s="106"/>
    </row>
    <row r="1048" spans="1:19" s="105" customFormat="1" ht="37.5">
      <c r="A1048" s="106"/>
      <c r="B1048" s="194" t="s">
        <v>1002</v>
      </c>
      <c r="C1048" s="139"/>
      <c r="D1048" s="140"/>
      <c r="E1048" s="139"/>
      <c r="F1048" s="139"/>
      <c r="G1048" s="140"/>
      <c r="H1048" s="139">
        <v>77.641900000000007</v>
      </c>
      <c r="I1048" s="141">
        <f t="shared" si="41"/>
        <v>77.641900000000007</v>
      </c>
      <c r="J1048" s="142">
        <f t="shared" si="42"/>
        <v>100</v>
      </c>
      <c r="K1048" s="143"/>
      <c r="N1048" s="106"/>
      <c r="O1048" s="106"/>
      <c r="P1048" s="106"/>
      <c r="Q1048" s="106"/>
      <c r="R1048" s="106"/>
      <c r="S1048" s="106"/>
    </row>
    <row r="1049" spans="1:19" s="105" customFormat="1">
      <c r="A1049" s="106"/>
      <c r="B1049" s="194" t="s">
        <v>18</v>
      </c>
      <c r="C1049" s="139"/>
      <c r="D1049" s="140"/>
      <c r="E1049" s="139"/>
      <c r="F1049" s="139"/>
      <c r="G1049" s="140"/>
      <c r="H1049" s="139"/>
      <c r="I1049" s="141"/>
      <c r="J1049" s="142"/>
      <c r="K1049" s="143"/>
      <c r="N1049" s="106"/>
      <c r="O1049" s="106"/>
      <c r="P1049" s="106"/>
      <c r="Q1049" s="106"/>
      <c r="R1049" s="106"/>
      <c r="S1049" s="106"/>
    </row>
    <row r="1050" spans="1:19" s="105" customFormat="1">
      <c r="A1050" s="106"/>
      <c r="B1050" s="175" t="s">
        <v>22</v>
      </c>
      <c r="C1050" s="139"/>
      <c r="D1050" s="140"/>
      <c r="E1050" s="139"/>
      <c r="F1050" s="139"/>
      <c r="G1050" s="140"/>
      <c r="H1050" s="139"/>
      <c r="I1050" s="141"/>
      <c r="J1050" s="142"/>
      <c r="K1050" s="143"/>
      <c r="N1050" s="106"/>
      <c r="O1050" s="106"/>
      <c r="P1050" s="106"/>
      <c r="Q1050" s="106"/>
      <c r="R1050" s="106"/>
      <c r="S1050" s="106"/>
    </row>
    <row r="1051" spans="1:19" s="105" customFormat="1">
      <c r="A1051" s="106"/>
      <c r="B1051" s="175" t="s">
        <v>48</v>
      </c>
      <c r="C1051" s="139"/>
      <c r="D1051" s="140"/>
      <c r="E1051" s="139"/>
      <c r="F1051" s="139"/>
      <c r="G1051" s="140"/>
      <c r="H1051" s="139"/>
      <c r="I1051" s="141"/>
      <c r="J1051" s="142"/>
      <c r="K1051" s="143"/>
      <c r="N1051" s="106"/>
      <c r="O1051" s="106"/>
      <c r="P1051" s="106"/>
      <c r="Q1051" s="106"/>
      <c r="R1051" s="106"/>
      <c r="S1051" s="106"/>
    </row>
    <row r="1052" spans="1:19" s="105" customFormat="1">
      <c r="A1052" s="106"/>
      <c r="B1052" s="194" t="s">
        <v>23</v>
      </c>
      <c r="C1052" s="139"/>
      <c r="D1052" s="140"/>
      <c r="E1052" s="139"/>
      <c r="F1052" s="139"/>
      <c r="G1052" s="140"/>
      <c r="H1052" s="139"/>
      <c r="I1052" s="141"/>
      <c r="J1052" s="142"/>
      <c r="K1052" s="143"/>
      <c r="N1052" s="106"/>
      <c r="O1052" s="106"/>
      <c r="P1052" s="106"/>
      <c r="Q1052" s="106"/>
      <c r="R1052" s="106"/>
      <c r="S1052" s="106"/>
    </row>
    <row r="1053" spans="1:19" s="105" customFormat="1">
      <c r="A1053" s="106"/>
      <c r="B1053" s="175" t="s">
        <v>20</v>
      </c>
      <c r="C1053" s="139"/>
      <c r="D1053" s="140"/>
      <c r="E1053" s="139"/>
      <c r="F1053" s="139"/>
      <c r="G1053" s="140"/>
      <c r="H1053" s="139"/>
      <c r="I1053" s="141"/>
      <c r="J1053" s="142"/>
      <c r="K1053" s="143"/>
      <c r="N1053" s="106"/>
      <c r="O1053" s="106"/>
      <c r="P1053" s="106"/>
      <c r="Q1053" s="106"/>
      <c r="R1053" s="106"/>
      <c r="S1053" s="106"/>
    </row>
    <row r="1054" spans="1:19" s="105" customFormat="1">
      <c r="A1054" s="106"/>
      <c r="B1054" s="175" t="s">
        <v>48</v>
      </c>
      <c r="C1054" s="139"/>
      <c r="D1054" s="140"/>
      <c r="E1054" s="139"/>
      <c r="F1054" s="139"/>
      <c r="G1054" s="140"/>
      <c r="H1054" s="139"/>
      <c r="I1054" s="141"/>
      <c r="J1054" s="142"/>
      <c r="K1054" s="143"/>
      <c r="N1054" s="106"/>
      <c r="O1054" s="106"/>
      <c r="P1054" s="106"/>
      <c r="Q1054" s="106"/>
      <c r="R1054" s="106"/>
      <c r="S1054" s="106"/>
    </row>
    <row r="1055" spans="1:19" s="105" customFormat="1">
      <c r="A1055" s="106"/>
      <c r="B1055" s="194" t="s">
        <v>23</v>
      </c>
      <c r="C1055" s="139"/>
      <c r="D1055" s="140"/>
      <c r="E1055" s="139"/>
      <c r="F1055" s="139"/>
      <c r="G1055" s="140"/>
      <c r="H1055" s="139"/>
      <c r="I1055" s="141"/>
      <c r="J1055" s="142"/>
      <c r="K1055" s="143"/>
      <c r="N1055" s="106"/>
      <c r="O1055" s="106"/>
      <c r="P1055" s="106"/>
      <c r="Q1055" s="106"/>
      <c r="R1055" s="106"/>
      <c r="S1055" s="106"/>
    </row>
    <row r="1056" spans="1:19" s="105" customFormat="1">
      <c r="A1056" s="106"/>
      <c r="B1056" s="175" t="s">
        <v>49</v>
      </c>
      <c r="C1056" s="139"/>
      <c r="D1056" s="140"/>
      <c r="E1056" s="139">
        <f>+E1058+E1061</f>
        <v>379.94760000000002</v>
      </c>
      <c r="F1056" s="139"/>
      <c r="G1056" s="140"/>
      <c r="H1056" s="139">
        <f>+H1058</f>
        <v>645.12</v>
      </c>
      <c r="I1056" s="141">
        <f t="shared" si="41"/>
        <v>265.17239999999998</v>
      </c>
      <c r="J1056" s="142">
        <f t="shared" si="42"/>
        <v>41.104352678571423</v>
      </c>
      <c r="K1056" s="143"/>
      <c r="N1056" s="106"/>
      <c r="O1056" s="106"/>
      <c r="P1056" s="106"/>
      <c r="Q1056" s="106"/>
      <c r="R1056" s="106"/>
      <c r="S1056" s="106"/>
    </row>
    <row r="1057" spans="1:19" s="105" customFormat="1">
      <c r="A1057" s="106"/>
      <c r="B1057" s="175" t="s">
        <v>19</v>
      </c>
      <c r="C1057" s="139"/>
      <c r="D1057" s="140"/>
      <c r="E1057" s="139"/>
      <c r="F1057" s="139"/>
      <c r="G1057" s="140"/>
      <c r="H1057" s="139"/>
      <c r="I1057" s="139"/>
      <c r="J1057" s="139"/>
      <c r="K1057" s="143"/>
      <c r="N1057" s="106"/>
      <c r="O1057" s="106"/>
      <c r="P1057" s="106"/>
      <c r="Q1057" s="106"/>
      <c r="R1057" s="106"/>
      <c r="S1057" s="106"/>
    </row>
    <row r="1058" spans="1:19" s="105" customFormat="1">
      <c r="A1058" s="106"/>
      <c r="B1058" s="175" t="s">
        <v>50</v>
      </c>
      <c r="C1058" s="139"/>
      <c r="D1058" s="140"/>
      <c r="E1058" s="139">
        <v>147.30260000000001</v>
      </c>
      <c r="F1058" s="139"/>
      <c r="G1058" s="140"/>
      <c r="H1058" s="139">
        <f>+H1059</f>
        <v>645.12</v>
      </c>
      <c r="I1058" s="141">
        <f t="shared" si="41"/>
        <v>497.81740000000002</v>
      </c>
      <c r="J1058" s="142">
        <f t="shared" si="42"/>
        <v>77.166635664682545</v>
      </c>
      <c r="K1058" s="143"/>
      <c r="N1058" s="106"/>
      <c r="O1058" s="106"/>
      <c r="P1058" s="106"/>
      <c r="Q1058" s="106"/>
      <c r="R1058" s="106"/>
      <c r="S1058" s="106"/>
    </row>
    <row r="1059" spans="1:19" s="105" customFormat="1" ht="27.75" customHeight="1">
      <c r="A1059" s="106"/>
      <c r="B1059" s="194" t="s">
        <v>1003</v>
      </c>
      <c r="C1059" s="139"/>
      <c r="D1059" s="140"/>
      <c r="E1059" s="139"/>
      <c r="F1059" s="139"/>
      <c r="G1059" s="140"/>
      <c r="H1059" s="139">
        <v>645.12</v>
      </c>
      <c r="I1059" s="141">
        <f t="shared" si="41"/>
        <v>645.12</v>
      </c>
      <c r="J1059" s="142">
        <f t="shared" si="42"/>
        <v>100</v>
      </c>
      <c r="K1059" s="143"/>
      <c r="N1059" s="106"/>
      <c r="O1059" s="106"/>
      <c r="P1059" s="106"/>
      <c r="Q1059" s="106"/>
      <c r="R1059" s="106"/>
      <c r="S1059" s="106"/>
    </row>
    <row r="1060" spans="1:19" s="105" customFormat="1" ht="27.75" customHeight="1">
      <c r="A1060" s="106"/>
      <c r="B1060" s="194" t="s">
        <v>18</v>
      </c>
      <c r="C1060" s="139"/>
      <c r="D1060" s="140"/>
      <c r="E1060" s="139"/>
      <c r="F1060" s="139"/>
      <c r="G1060" s="140"/>
      <c r="H1060" s="139"/>
      <c r="I1060" s="141"/>
      <c r="J1060" s="142"/>
      <c r="K1060" s="143"/>
      <c r="N1060" s="106"/>
      <c r="O1060" s="106"/>
      <c r="P1060" s="106"/>
      <c r="Q1060" s="106"/>
      <c r="R1060" s="106"/>
      <c r="S1060" s="106"/>
    </row>
    <row r="1061" spans="1:19" s="105" customFormat="1" ht="37.5">
      <c r="A1061" s="106"/>
      <c r="B1061" s="175" t="s">
        <v>190</v>
      </c>
      <c r="C1061" s="139"/>
      <c r="D1061" s="140"/>
      <c r="E1061" s="139">
        <v>232.64500000000001</v>
      </c>
      <c r="F1061" s="139"/>
      <c r="G1061" s="140"/>
      <c r="H1061" s="139"/>
      <c r="I1061" s="141">
        <f t="shared" si="41"/>
        <v>-232.64500000000001</v>
      </c>
      <c r="J1061" s="142">
        <v>0</v>
      </c>
      <c r="K1061" s="143"/>
      <c r="N1061" s="106"/>
      <c r="O1061" s="106"/>
      <c r="P1061" s="106"/>
      <c r="Q1061" s="106"/>
      <c r="R1061" s="106"/>
      <c r="S1061" s="106"/>
    </row>
    <row r="1062" spans="1:19" s="105" customFormat="1">
      <c r="A1062" s="106"/>
      <c r="B1062" s="175" t="s">
        <v>51</v>
      </c>
      <c r="C1062" s="139"/>
      <c r="D1062" s="140"/>
      <c r="E1062" s="139"/>
      <c r="F1062" s="139"/>
      <c r="G1062" s="140"/>
      <c r="H1062" s="139"/>
      <c r="I1062" s="141"/>
      <c r="J1062" s="142"/>
      <c r="K1062" s="143"/>
      <c r="N1062" s="106"/>
      <c r="O1062" s="106"/>
      <c r="P1062" s="106"/>
      <c r="Q1062" s="106"/>
      <c r="R1062" s="106"/>
      <c r="S1062" s="106"/>
    </row>
    <row r="1063" spans="1:19" s="105" customFormat="1">
      <c r="A1063" s="106"/>
      <c r="B1063" s="194" t="s">
        <v>23</v>
      </c>
      <c r="C1063" s="139"/>
      <c r="D1063" s="140"/>
      <c r="E1063" s="139"/>
      <c r="F1063" s="139"/>
      <c r="G1063" s="140"/>
      <c r="H1063" s="139"/>
      <c r="I1063" s="141"/>
      <c r="J1063" s="142"/>
      <c r="K1063" s="143"/>
      <c r="N1063" s="106"/>
      <c r="O1063" s="106"/>
      <c r="P1063" s="106"/>
      <c r="Q1063" s="106"/>
      <c r="R1063" s="106"/>
      <c r="S1063" s="106"/>
    </row>
    <row r="1064" spans="1:19" s="105" customFormat="1">
      <c r="A1064" s="106"/>
      <c r="B1064" s="175" t="s">
        <v>20</v>
      </c>
      <c r="C1064" s="139"/>
      <c r="D1064" s="140"/>
      <c r="E1064" s="139"/>
      <c r="F1064" s="139"/>
      <c r="G1064" s="140"/>
      <c r="H1064" s="139"/>
      <c r="I1064" s="141"/>
      <c r="J1064" s="142"/>
      <c r="K1064" s="143"/>
      <c r="N1064" s="106"/>
      <c r="O1064" s="106"/>
      <c r="P1064" s="106"/>
      <c r="Q1064" s="106"/>
      <c r="R1064" s="106"/>
      <c r="S1064" s="106"/>
    </row>
    <row r="1065" spans="1:19" s="105" customFormat="1">
      <c r="A1065" s="106"/>
      <c r="B1065" s="175" t="s">
        <v>51</v>
      </c>
      <c r="C1065" s="139"/>
      <c r="D1065" s="140"/>
      <c r="E1065" s="139"/>
      <c r="F1065" s="139"/>
      <c r="G1065" s="140"/>
      <c r="H1065" s="139"/>
      <c r="I1065" s="141"/>
      <c r="J1065" s="142"/>
      <c r="K1065" s="143"/>
      <c r="N1065" s="106"/>
      <c r="O1065" s="106"/>
      <c r="P1065" s="106"/>
      <c r="Q1065" s="106"/>
      <c r="R1065" s="106"/>
      <c r="S1065" s="106"/>
    </row>
    <row r="1066" spans="1:19" s="105" customFormat="1">
      <c r="A1066" s="106"/>
      <c r="B1066" s="194" t="s">
        <v>23</v>
      </c>
      <c r="C1066" s="139"/>
      <c r="D1066" s="140"/>
      <c r="E1066" s="139"/>
      <c r="F1066" s="139"/>
      <c r="G1066" s="140"/>
      <c r="H1066" s="139"/>
      <c r="I1066" s="141"/>
      <c r="J1066" s="142"/>
      <c r="K1066" s="143"/>
      <c r="N1066" s="106"/>
      <c r="O1066" s="106"/>
      <c r="P1066" s="106"/>
      <c r="Q1066" s="106"/>
      <c r="R1066" s="106"/>
      <c r="S1066" s="106"/>
    </row>
    <row r="1067" spans="1:19" s="105" customFormat="1">
      <c r="A1067" s="106"/>
      <c r="B1067" s="175" t="s">
        <v>53</v>
      </c>
      <c r="C1067" s="139"/>
      <c r="D1067" s="140"/>
      <c r="E1067" s="139">
        <f>SUM(E1068:E1071)</f>
        <v>0</v>
      </c>
      <c r="F1067" s="139"/>
      <c r="G1067" s="140"/>
      <c r="H1067" s="139">
        <f>SUM(H1068:H1071)</f>
        <v>0</v>
      </c>
      <c r="I1067" s="141"/>
      <c r="J1067" s="142"/>
      <c r="K1067" s="143"/>
      <c r="N1067" s="106"/>
      <c r="O1067" s="106"/>
      <c r="P1067" s="106"/>
      <c r="Q1067" s="106"/>
      <c r="R1067" s="106"/>
      <c r="S1067" s="106"/>
    </row>
    <row r="1068" spans="1:19" s="105" customFormat="1">
      <c r="A1068" s="106"/>
      <c r="B1068" s="175" t="s">
        <v>52</v>
      </c>
      <c r="C1068" s="139"/>
      <c r="D1068" s="140"/>
      <c r="E1068" s="139"/>
      <c r="F1068" s="139"/>
      <c r="G1068" s="140"/>
      <c r="H1068" s="139"/>
      <c r="I1068" s="141"/>
      <c r="J1068" s="142"/>
      <c r="K1068" s="143"/>
      <c r="N1068" s="106"/>
      <c r="O1068" s="106"/>
      <c r="P1068" s="106"/>
      <c r="Q1068" s="106"/>
      <c r="R1068" s="106"/>
      <c r="S1068" s="106"/>
    </row>
    <row r="1069" spans="1:19" s="105" customFormat="1">
      <c r="A1069" s="106"/>
      <c r="B1069" s="175"/>
      <c r="C1069" s="139"/>
      <c r="D1069" s="140"/>
      <c r="E1069" s="139"/>
      <c r="F1069" s="139"/>
      <c r="G1069" s="140"/>
      <c r="H1069" s="139"/>
      <c r="I1069" s="141"/>
      <c r="J1069" s="142"/>
      <c r="K1069" s="143"/>
      <c r="N1069" s="106"/>
      <c r="O1069" s="106"/>
      <c r="P1069" s="106"/>
      <c r="Q1069" s="106"/>
      <c r="R1069" s="106"/>
      <c r="S1069" s="106"/>
    </row>
    <row r="1070" spans="1:19" s="105" customFormat="1">
      <c r="A1070" s="106"/>
      <c r="B1070" s="175" t="s">
        <v>55</v>
      </c>
      <c r="C1070" s="139"/>
      <c r="D1070" s="140"/>
      <c r="E1070" s="139"/>
      <c r="F1070" s="139"/>
      <c r="G1070" s="140"/>
      <c r="H1070" s="139"/>
      <c r="I1070" s="141"/>
      <c r="J1070" s="142"/>
      <c r="K1070" s="143"/>
      <c r="N1070" s="106"/>
      <c r="O1070" s="106"/>
      <c r="P1070" s="106"/>
      <c r="Q1070" s="106"/>
      <c r="R1070" s="106"/>
      <c r="S1070" s="106"/>
    </row>
    <row r="1071" spans="1:19" s="105" customFormat="1">
      <c r="A1071" s="106"/>
      <c r="B1071" s="175"/>
      <c r="C1071" s="139"/>
      <c r="D1071" s="140"/>
      <c r="E1071" s="139"/>
      <c r="F1071" s="139"/>
      <c r="G1071" s="140"/>
      <c r="H1071" s="139"/>
      <c r="I1071" s="141"/>
      <c r="J1071" s="142"/>
      <c r="K1071" s="143"/>
      <c r="N1071" s="106"/>
      <c r="O1071" s="106"/>
      <c r="P1071" s="106"/>
      <c r="Q1071" s="106"/>
      <c r="R1071" s="106"/>
      <c r="S1071" s="106"/>
    </row>
    <row r="1072" spans="1:19" s="105" customFormat="1">
      <c r="A1072" s="106"/>
      <c r="B1072" s="175" t="s">
        <v>56</v>
      </c>
      <c r="C1072" s="139"/>
      <c r="D1072" s="140"/>
      <c r="E1072" s="139">
        <f>SUM(E1073:E1617)</f>
        <v>5505.8689999999988</v>
      </c>
      <c r="F1072" s="139"/>
      <c r="G1072" s="140"/>
      <c r="H1072" s="139">
        <f>SUM(H1073:H1617)</f>
        <v>10209.647359999997</v>
      </c>
      <c r="I1072" s="141"/>
      <c r="J1072" s="142"/>
      <c r="K1072" s="143"/>
      <c r="N1072" s="106"/>
      <c r="O1072" s="106"/>
      <c r="P1072" s="106"/>
      <c r="Q1072" s="106"/>
      <c r="R1072" s="106"/>
      <c r="S1072" s="106"/>
    </row>
    <row r="1073" spans="1:19" s="105" customFormat="1">
      <c r="A1073" s="106"/>
      <c r="B1073" s="175"/>
      <c r="C1073" s="139"/>
      <c r="D1073" s="140"/>
      <c r="E1073" s="139"/>
      <c r="F1073" s="139"/>
      <c r="G1073" s="140"/>
      <c r="H1073" s="139"/>
      <c r="I1073" s="141"/>
      <c r="J1073" s="142"/>
      <c r="K1073" s="143"/>
      <c r="N1073" s="106"/>
      <c r="O1073" s="106"/>
      <c r="P1073" s="106"/>
      <c r="Q1073" s="106"/>
      <c r="R1073" s="106"/>
      <c r="S1073" s="106"/>
    </row>
    <row r="1074" spans="1:19" s="105" customFormat="1">
      <c r="A1074" s="106"/>
      <c r="B1074" s="286" t="s">
        <v>67</v>
      </c>
      <c r="C1074" s="139"/>
      <c r="D1074" s="140"/>
      <c r="E1074" s="139">
        <f>+E1075+E1173+E1235+E1474</f>
        <v>858.32040000000006</v>
      </c>
      <c r="F1074" s="139"/>
      <c r="G1074" s="140"/>
      <c r="H1074" s="139">
        <f>+H1075+H1173+H1235+H1474+H1546</f>
        <v>1618.1409199999998</v>
      </c>
      <c r="I1074" s="141">
        <f t="shared" ref="I1074:I1087" si="43">+H1074-E1074</f>
        <v>759.82051999999976</v>
      </c>
      <c r="J1074" s="142">
        <f t="shared" ref="J1074:J1087" si="44">+I1074*100/H1074</f>
        <v>46.956387457280293</v>
      </c>
      <c r="K1074" s="143"/>
      <c r="N1074" s="106"/>
      <c r="O1074" s="106"/>
      <c r="P1074" s="106"/>
      <c r="Q1074" s="106"/>
      <c r="R1074" s="106"/>
      <c r="S1074" s="106"/>
    </row>
    <row r="1075" spans="1:19" s="105" customFormat="1" ht="37.5">
      <c r="A1075" s="106"/>
      <c r="B1075" s="286" t="s">
        <v>159</v>
      </c>
      <c r="C1075" s="139"/>
      <c r="D1075" s="140"/>
      <c r="E1075" s="139">
        <f>+E1076</f>
        <v>6.4631000000000007</v>
      </c>
      <c r="F1075" s="139"/>
      <c r="G1075" s="140"/>
      <c r="H1075" s="139">
        <f>+H1076</f>
        <v>10.1</v>
      </c>
      <c r="I1075" s="141">
        <f t="shared" si="43"/>
        <v>3.6368999999999989</v>
      </c>
      <c r="J1075" s="142">
        <f t="shared" si="44"/>
        <v>36.008910891089101</v>
      </c>
      <c r="K1075" s="143"/>
      <c r="N1075" s="106"/>
      <c r="O1075" s="106"/>
      <c r="P1075" s="106"/>
      <c r="Q1075" s="106"/>
      <c r="R1075" s="106"/>
      <c r="S1075" s="106"/>
    </row>
    <row r="1076" spans="1:19" s="105" customFormat="1" ht="37.5">
      <c r="A1076" s="106"/>
      <c r="B1076" s="286" t="s">
        <v>155</v>
      </c>
      <c r="C1076" s="139"/>
      <c r="D1076" s="140"/>
      <c r="E1076" s="139">
        <f>+E1077</f>
        <v>6.4631000000000007</v>
      </c>
      <c r="F1076" s="139"/>
      <c r="G1076" s="140"/>
      <c r="H1076" s="139">
        <f>+H1077</f>
        <v>10.1</v>
      </c>
      <c r="I1076" s="141">
        <f t="shared" si="43"/>
        <v>3.6368999999999989</v>
      </c>
      <c r="J1076" s="142">
        <f t="shared" si="44"/>
        <v>36.008910891089101</v>
      </c>
      <c r="K1076" s="143"/>
      <c r="N1076" s="106"/>
      <c r="O1076" s="106"/>
      <c r="P1076" s="106"/>
      <c r="Q1076" s="106"/>
      <c r="R1076" s="106"/>
      <c r="S1076" s="106"/>
    </row>
    <row r="1077" spans="1:19" s="105" customFormat="1" ht="37.5">
      <c r="A1077" s="106"/>
      <c r="B1077" s="286" t="s">
        <v>156</v>
      </c>
      <c r="C1077" s="139"/>
      <c r="D1077" s="140"/>
      <c r="E1077" s="139">
        <f>+E1081+E1144+E1167+E1170</f>
        <v>6.4631000000000007</v>
      </c>
      <c r="F1077" s="139"/>
      <c r="G1077" s="140"/>
      <c r="H1077" s="139">
        <f>+H1081+H1144+H1167+H1170</f>
        <v>10.1</v>
      </c>
      <c r="I1077" s="141">
        <f t="shared" si="43"/>
        <v>3.6368999999999989</v>
      </c>
      <c r="J1077" s="142">
        <f t="shared" si="44"/>
        <v>36.008910891089101</v>
      </c>
      <c r="K1077" s="143"/>
      <c r="N1077" s="106"/>
      <c r="O1077" s="106"/>
      <c r="P1077" s="106"/>
      <c r="Q1077" s="106"/>
      <c r="R1077" s="106"/>
      <c r="S1077" s="106"/>
    </row>
    <row r="1078" spans="1:19" s="105" customFormat="1">
      <c r="A1078" s="106"/>
      <c r="B1078" s="335" t="s">
        <v>24</v>
      </c>
      <c r="C1078" s="139"/>
      <c r="D1078" s="140"/>
      <c r="E1078" s="139"/>
      <c r="F1078" s="139"/>
      <c r="G1078" s="140"/>
      <c r="H1078" s="139"/>
      <c r="I1078" s="141"/>
      <c r="J1078" s="142"/>
      <c r="K1078" s="143"/>
      <c r="N1078" s="106"/>
      <c r="O1078" s="106"/>
      <c r="P1078" s="106"/>
      <c r="Q1078" s="106"/>
      <c r="R1078" s="106"/>
      <c r="S1078" s="106"/>
    </row>
    <row r="1079" spans="1:19" s="105" customFormat="1" ht="32.25">
      <c r="A1079" s="106"/>
      <c r="B1079" s="325" t="s">
        <v>68</v>
      </c>
      <c r="C1079" s="336" t="s">
        <v>25</v>
      </c>
      <c r="D1079" s="337"/>
      <c r="E1079" s="336" t="s">
        <v>58</v>
      </c>
      <c r="F1079" s="336"/>
      <c r="G1079" s="337" t="s">
        <v>26</v>
      </c>
      <c r="H1079" s="336"/>
      <c r="I1079" s="141"/>
      <c r="J1079" s="142"/>
      <c r="K1079" s="338"/>
      <c r="N1079" s="106"/>
      <c r="O1079" s="106"/>
      <c r="P1079" s="106"/>
      <c r="Q1079" s="106"/>
      <c r="R1079" s="106"/>
      <c r="S1079" s="106"/>
    </row>
    <row r="1080" spans="1:19" s="105" customFormat="1" ht="32.25">
      <c r="A1080" s="106"/>
      <c r="B1080" s="325"/>
      <c r="C1080" s="336" t="s">
        <v>60</v>
      </c>
      <c r="D1080" s="337"/>
      <c r="E1080" s="336" t="s">
        <v>62</v>
      </c>
      <c r="F1080" s="336"/>
      <c r="G1080" s="337" t="s">
        <v>61</v>
      </c>
      <c r="H1080" s="336"/>
      <c r="I1080" s="141"/>
      <c r="J1080" s="142"/>
      <c r="K1080" s="338"/>
      <c r="N1080" s="106"/>
      <c r="O1080" s="106"/>
      <c r="P1080" s="106"/>
      <c r="Q1080" s="106"/>
      <c r="R1080" s="106"/>
      <c r="S1080" s="106"/>
    </row>
    <row r="1081" spans="1:19" s="105" customFormat="1">
      <c r="A1081" s="106"/>
      <c r="B1081" s="175" t="s">
        <v>38</v>
      </c>
      <c r="C1081" s="139"/>
      <c r="D1081" s="140"/>
      <c r="E1081" s="139">
        <f>+E1082+E1138</f>
        <v>6.4631000000000007</v>
      </c>
      <c r="F1081" s="139"/>
      <c r="G1081" s="140"/>
      <c r="H1081" s="139">
        <f>+H1082+H1138</f>
        <v>10.1</v>
      </c>
      <c r="I1081" s="141">
        <f t="shared" si="43"/>
        <v>3.6368999999999989</v>
      </c>
      <c r="J1081" s="142">
        <f t="shared" si="44"/>
        <v>36.008910891089101</v>
      </c>
      <c r="K1081" s="143"/>
      <c r="N1081" s="106"/>
      <c r="O1081" s="106"/>
      <c r="P1081" s="106"/>
      <c r="Q1081" s="106"/>
      <c r="R1081" s="106"/>
      <c r="S1081" s="106"/>
    </row>
    <row r="1082" spans="1:19" s="105" customFormat="1">
      <c r="A1082" s="106"/>
      <c r="B1082" s="175" t="s">
        <v>41</v>
      </c>
      <c r="C1082" s="139"/>
      <c r="D1082" s="140"/>
      <c r="E1082" s="139">
        <f>+E1083+E1085+E1136</f>
        <v>6.4631000000000007</v>
      </c>
      <c r="F1082" s="139"/>
      <c r="G1082" s="140"/>
      <c r="H1082" s="139">
        <f>+H1083+H1085+H1136</f>
        <v>10.1</v>
      </c>
      <c r="I1082" s="141">
        <f t="shared" si="43"/>
        <v>3.6368999999999989</v>
      </c>
      <c r="J1082" s="142">
        <f t="shared" si="44"/>
        <v>36.008910891089101</v>
      </c>
      <c r="K1082" s="143"/>
      <c r="N1082" s="106"/>
      <c r="O1082" s="106"/>
      <c r="P1082" s="106"/>
      <c r="Q1082" s="106"/>
      <c r="R1082" s="106"/>
      <c r="S1082" s="106"/>
    </row>
    <row r="1083" spans="1:19" s="105" customFormat="1">
      <c r="A1083" s="106"/>
      <c r="B1083" s="175" t="s">
        <v>42</v>
      </c>
      <c r="C1083" s="139"/>
      <c r="D1083" s="140"/>
      <c r="E1083" s="139">
        <f>SUM(E1084:E1084)</f>
        <v>0.23200000000000001</v>
      </c>
      <c r="F1083" s="139"/>
      <c r="G1083" s="140"/>
      <c r="H1083" s="139">
        <f>SUM(H1084:H1084)</f>
        <v>7.0000000000000001E-3</v>
      </c>
      <c r="I1083" s="141">
        <f t="shared" si="43"/>
        <v>-0.22500000000000001</v>
      </c>
      <c r="J1083" s="142">
        <f t="shared" si="44"/>
        <v>-3214.2857142857142</v>
      </c>
      <c r="K1083" s="143"/>
      <c r="N1083" s="106"/>
      <c r="O1083" s="106"/>
      <c r="P1083" s="106"/>
      <c r="Q1083" s="106"/>
      <c r="R1083" s="106"/>
      <c r="S1083" s="106"/>
    </row>
    <row r="1084" spans="1:19" s="105" customFormat="1" ht="93.75">
      <c r="A1084" s="106"/>
      <c r="B1084" s="194" t="s">
        <v>112</v>
      </c>
      <c r="C1084" s="139"/>
      <c r="D1084" s="140"/>
      <c r="E1084" s="139">
        <v>0.23200000000000001</v>
      </c>
      <c r="F1084" s="139"/>
      <c r="G1084" s="140"/>
      <c r="H1084" s="139">
        <v>7.0000000000000001E-3</v>
      </c>
      <c r="I1084" s="141">
        <f t="shared" si="43"/>
        <v>-0.22500000000000001</v>
      </c>
      <c r="J1084" s="142">
        <f t="shared" si="44"/>
        <v>-3214.2857142857142</v>
      </c>
      <c r="K1084" s="175" t="s">
        <v>733</v>
      </c>
      <c r="N1084" s="106"/>
      <c r="O1084" s="106"/>
      <c r="P1084" s="106"/>
      <c r="Q1084" s="106"/>
      <c r="R1084" s="106"/>
      <c r="S1084" s="106"/>
    </row>
    <row r="1085" spans="1:19" s="105" customFormat="1">
      <c r="A1085" s="106"/>
      <c r="B1085" s="175" t="s">
        <v>43</v>
      </c>
      <c r="C1085" s="139"/>
      <c r="D1085" s="140"/>
      <c r="E1085" s="139">
        <f>SUM(E1087:E1128)</f>
        <v>6.2131000000000007</v>
      </c>
      <c r="F1085" s="139"/>
      <c r="G1085" s="140"/>
      <c r="H1085" s="139">
        <f>SUM(H1087:H1128)</f>
        <v>10.040789999999999</v>
      </c>
      <c r="I1085" s="141">
        <f t="shared" si="43"/>
        <v>3.8276899999999987</v>
      </c>
      <c r="J1085" s="142">
        <f t="shared" si="44"/>
        <v>38.121402797987002</v>
      </c>
      <c r="K1085" s="143"/>
      <c r="N1085" s="106"/>
      <c r="O1085" s="106"/>
      <c r="P1085" s="106"/>
      <c r="Q1085" s="106"/>
      <c r="R1085" s="106"/>
      <c r="S1085" s="106"/>
    </row>
    <row r="1086" spans="1:19" s="105" customFormat="1">
      <c r="A1086" s="106"/>
      <c r="B1086" s="175" t="s">
        <v>19</v>
      </c>
      <c r="C1086" s="139"/>
      <c r="D1086" s="140"/>
      <c r="E1086" s="139"/>
      <c r="F1086" s="139"/>
      <c r="G1086" s="140"/>
      <c r="H1086" s="139"/>
      <c r="I1086" s="141"/>
      <c r="J1086" s="142"/>
      <c r="K1086" s="143"/>
      <c r="N1086" s="106"/>
      <c r="O1086" s="106"/>
      <c r="P1086" s="106"/>
      <c r="Q1086" s="106"/>
      <c r="R1086" s="106"/>
      <c r="S1086" s="106"/>
    </row>
    <row r="1087" spans="1:19" s="105" customFormat="1">
      <c r="A1087" s="106"/>
      <c r="B1087" s="194" t="s">
        <v>85</v>
      </c>
      <c r="C1087" s="139"/>
      <c r="D1087" s="140"/>
      <c r="E1087" s="139">
        <v>0.19289999999999999</v>
      </c>
      <c r="F1087" s="139"/>
      <c r="G1087" s="140"/>
      <c r="H1087" s="139">
        <v>0.39261000000000001</v>
      </c>
      <c r="I1087" s="141">
        <f t="shared" si="43"/>
        <v>0.19971000000000003</v>
      </c>
      <c r="J1087" s="142">
        <f t="shared" si="44"/>
        <v>50.867272866203109</v>
      </c>
      <c r="K1087" s="143" t="s">
        <v>734</v>
      </c>
      <c r="N1087" s="106"/>
      <c r="O1087" s="106"/>
      <c r="P1087" s="106"/>
      <c r="Q1087" s="106"/>
      <c r="R1087" s="106"/>
      <c r="S1087" s="106"/>
    </row>
    <row r="1088" spans="1:19" s="105" customFormat="1">
      <c r="A1088" s="106"/>
      <c r="B1088" s="194"/>
      <c r="C1088" s="139"/>
      <c r="D1088" s="140"/>
      <c r="E1088" s="139"/>
      <c r="F1088" s="139"/>
      <c r="G1088" s="140"/>
      <c r="H1088" s="139"/>
      <c r="I1088" s="141"/>
      <c r="J1088" s="142"/>
      <c r="K1088" s="143" t="s">
        <v>735</v>
      </c>
      <c r="N1088" s="106"/>
      <c r="O1088" s="106"/>
      <c r="P1088" s="106"/>
      <c r="Q1088" s="106"/>
      <c r="R1088" s="106"/>
      <c r="S1088" s="106"/>
    </row>
    <row r="1089" spans="1:19" s="105" customFormat="1">
      <c r="A1089" s="106"/>
      <c r="B1089" s="194"/>
      <c r="C1089" s="139"/>
      <c r="D1089" s="140"/>
      <c r="E1089" s="139"/>
      <c r="F1089" s="139"/>
      <c r="G1089" s="140"/>
      <c r="H1089" s="139"/>
      <c r="I1089" s="141"/>
      <c r="J1089" s="142"/>
      <c r="K1089" s="143" t="s">
        <v>736</v>
      </c>
      <c r="N1089" s="106"/>
      <c r="O1089" s="106"/>
      <c r="P1089" s="106"/>
      <c r="Q1089" s="106"/>
      <c r="R1089" s="106"/>
      <c r="S1089" s="106"/>
    </row>
    <row r="1090" spans="1:19" s="105" customFormat="1">
      <c r="A1090" s="106"/>
      <c r="B1090" s="194"/>
      <c r="C1090" s="139"/>
      <c r="D1090" s="140"/>
      <c r="E1090" s="139"/>
      <c r="F1090" s="139"/>
      <c r="G1090" s="140"/>
      <c r="H1090" s="139"/>
      <c r="I1090" s="141"/>
      <c r="J1090" s="142"/>
      <c r="K1090" s="143" t="s">
        <v>737</v>
      </c>
      <c r="N1090" s="106"/>
      <c r="O1090" s="106"/>
      <c r="P1090" s="106"/>
      <c r="Q1090" s="106"/>
      <c r="R1090" s="106"/>
      <c r="S1090" s="106"/>
    </row>
    <row r="1091" spans="1:19" s="105" customFormat="1">
      <c r="A1091" s="106"/>
      <c r="B1091" s="194"/>
      <c r="C1091" s="139"/>
      <c r="D1091" s="140"/>
      <c r="E1091" s="139"/>
      <c r="F1091" s="139"/>
      <c r="G1091" s="140"/>
      <c r="H1091" s="139"/>
      <c r="I1091" s="141"/>
      <c r="J1091" s="142"/>
      <c r="K1091" s="143" t="s">
        <v>738</v>
      </c>
      <c r="N1091" s="106"/>
      <c r="O1091" s="106"/>
      <c r="P1091" s="106"/>
      <c r="Q1091" s="106"/>
      <c r="R1091" s="106"/>
      <c r="S1091" s="106"/>
    </row>
    <row r="1092" spans="1:19" s="105" customFormat="1">
      <c r="A1092" s="106"/>
      <c r="B1092" s="194"/>
      <c r="C1092" s="139"/>
      <c r="D1092" s="140"/>
      <c r="E1092" s="139"/>
      <c r="F1092" s="139"/>
      <c r="G1092" s="140"/>
      <c r="H1092" s="139"/>
      <c r="I1092" s="141"/>
      <c r="J1092" s="142"/>
      <c r="K1092" s="143" t="s">
        <v>739</v>
      </c>
      <c r="N1092" s="106"/>
      <c r="O1092" s="106"/>
      <c r="P1092" s="106"/>
      <c r="Q1092" s="106"/>
      <c r="R1092" s="106"/>
      <c r="S1092" s="106"/>
    </row>
    <row r="1093" spans="1:19" s="105" customFormat="1">
      <c r="A1093" s="106"/>
      <c r="B1093" s="194"/>
      <c r="C1093" s="139"/>
      <c r="D1093" s="140"/>
      <c r="E1093" s="139"/>
      <c r="F1093" s="139"/>
      <c r="G1093" s="140"/>
      <c r="H1093" s="139"/>
      <c r="I1093" s="141"/>
      <c r="J1093" s="142"/>
      <c r="K1093" s="143" t="s">
        <v>740</v>
      </c>
      <c r="N1093" s="106"/>
      <c r="O1093" s="106"/>
      <c r="P1093" s="106"/>
      <c r="Q1093" s="106"/>
      <c r="R1093" s="106"/>
      <c r="S1093" s="106"/>
    </row>
    <row r="1094" spans="1:19" s="105" customFormat="1">
      <c r="A1094" s="106"/>
      <c r="B1094" s="194"/>
      <c r="C1094" s="139"/>
      <c r="D1094" s="140"/>
      <c r="E1094" s="139"/>
      <c r="F1094" s="139"/>
      <c r="G1094" s="140"/>
      <c r="H1094" s="139"/>
      <c r="I1094" s="141"/>
      <c r="J1094" s="142"/>
      <c r="K1094" s="143" t="s">
        <v>741</v>
      </c>
      <c r="N1094" s="106"/>
      <c r="O1094" s="106"/>
      <c r="P1094" s="106"/>
      <c r="Q1094" s="106"/>
      <c r="R1094" s="106"/>
      <c r="S1094" s="106"/>
    </row>
    <row r="1095" spans="1:19" s="105" customFormat="1">
      <c r="A1095" s="106"/>
      <c r="B1095" s="194"/>
      <c r="C1095" s="139"/>
      <c r="D1095" s="140"/>
      <c r="E1095" s="139"/>
      <c r="F1095" s="139"/>
      <c r="G1095" s="140"/>
      <c r="H1095" s="139"/>
      <c r="I1095" s="141"/>
      <c r="J1095" s="142"/>
      <c r="K1095" s="143" t="s">
        <v>742</v>
      </c>
      <c r="N1095" s="106"/>
      <c r="O1095" s="106"/>
      <c r="P1095" s="106"/>
      <c r="Q1095" s="106"/>
      <c r="R1095" s="106"/>
      <c r="S1095" s="106"/>
    </row>
    <row r="1096" spans="1:19" s="105" customFormat="1">
      <c r="A1096" s="106"/>
      <c r="B1096" s="194"/>
      <c r="C1096" s="139"/>
      <c r="D1096" s="140"/>
      <c r="E1096" s="139"/>
      <c r="F1096" s="139"/>
      <c r="G1096" s="140"/>
      <c r="H1096" s="139"/>
      <c r="I1096" s="141"/>
      <c r="J1096" s="142"/>
      <c r="K1096" s="143" t="s">
        <v>743</v>
      </c>
      <c r="N1096" s="106"/>
      <c r="O1096" s="106"/>
      <c r="P1096" s="106"/>
      <c r="Q1096" s="106"/>
      <c r="R1096" s="106"/>
      <c r="S1096" s="106"/>
    </row>
    <row r="1097" spans="1:19" s="105" customFormat="1">
      <c r="A1097" s="106"/>
      <c r="B1097" s="194"/>
      <c r="C1097" s="139"/>
      <c r="D1097" s="140"/>
      <c r="E1097" s="139"/>
      <c r="F1097" s="139"/>
      <c r="G1097" s="140"/>
      <c r="H1097" s="139"/>
      <c r="I1097" s="141"/>
      <c r="J1097" s="142"/>
      <c r="K1097" s="143" t="s">
        <v>744</v>
      </c>
      <c r="N1097" s="106"/>
      <c r="O1097" s="106"/>
      <c r="P1097" s="106"/>
      <c r="Q1097" s="106"/>
      <c r="R1097" s="106"/>
      <c r="S1097" s="106"/>
    </row>
    <row r="1098" spans="1:19" s="105" customFormat="1">
      <c r="A1098" s="106"/>
      <c r="B1098" s="194"/>
      <c r="C1098" s="139"/>
      <c r="D1098" s="140"/>
      <c r="E1098" s="139"/>
      <c r="F1098" s="139"/>
      <c r="G1098" s="140"/>
      <c r="H1098" s="139"/>
      <c r="I1098" s="141"/>
      <c r="J1098" s="142"/>
      <c r="K1098" s="143" t="s">
        <v>745</v>
      </c>
      <c r="N1098" s="106"/>
      <c r="O1098" s="106"/>
      <c r="P1098" s="106"/>
      <c r="Q1098" s="106"/>
      <c r="R1098" s="106"/>
      <c r="S1098" s="106"/>
    </row>
    <row r="1099" spans="1:19" s="105" customFormat="1">
      <c r="A1099" s="106"/>
      <c r="B1099" s="194"/>
      <c r="C1099" s="139"/>
      <c r="D1099" s="140"/>
      <c r="E1099" s="139"/>
      <c r="F1099" s="139"/>
      <c r="G1099" s="140"/>
      <c r="H1099" s="139"/>
      <c r="I1099" s="141"/>
      <c r="J1099" s="142"/>
      <c r="K1099" s="143" t="s">
        <v>746</v>
      </c>
      <c r="N1099" s="106"/>
      <c r="O1099" s="106"/>
      <c r="P1099" s="106"/>
      <c r="Q1099" s="106"/>
      <c r="R1099" s="106"/>
      <c r="S1099" s="106"/>
    </row>
    <row r="1100" spans="1:19" s="105" customFormat="1">
      <c r="A1100" s="106"/>
      <c r="B1100" s="194"/>
      <c r="C1100" s="139"/>
      <c r="D1100" s="140"/>
      <c r="E1100" s="139"/>
      <c r="F1100" s="139"/>
      <c r="G1100" s="140"/>
      <c r="H1100" s="139"/>
      <c r="I1100" s="141"/>
      <c r="J1100" s="142"/>
      <c r="K1100" s="143" t="s">
        <v>747</v>
      </c>
      <c r="N1100" s="106"/>
      <c r="O1100" s="106"/>
      <c r="P1100" s="106"/>
      <c r="Q1100" s="106"/>
      <c r="R1100" s="106"/>
      <c r="S1100" s="106"/>
    </row>
    <row r="1101" spans="1:19" s="105" customFormat="1">
      <c r="A1101" s="106"/>
      <c r="B1101" s="194"/>
      <c r="C1101" s="139"/>
      <c r="D1101" s="140"/>
      <c r="E1101" s="139"/>
      <c r="F1101" s="139"/>
      <c r="G1101" s="140"/>
      <c r="H1101" s="139"/>
      <c r="I1101" s="141"/>
      <c r="J1101" s="142"/>
      <c r="K1101" s="143" t="s">
        <v>748</v>
      </c>
      <c r="N1101" s="106"/>
      <c r="O1101" s="106"/>
      <c r="P1101" s="106"/>
      <c r="Q1101" s="106"/>
      <c r="R1101" s="106"/>
      <c r="S1101" s="106"/>
    </row>
    <row r="1102" spans="1:19" s="105" customFormat="1">
      <c r="A1102" s="106"/>
      <c r="B1102" s="194"/>
      <c r="C1102" s="139"/>
      <c r="D1102" s="140"/>
      <c r="E1102" s="139"/>
      <c r="F1102" s="139"/>
      <c r="G1102" s="140"/>
      <c r="H1102" s="139"/>
      <c r="I1102" s="141"/>
      <c r="J1102" s="142"/>
      <c r="K1102" s="143" t="s">
        <v>749</v>
      </c>
      <c r="N1102" s="106"/>
      <c r="O1102" s="106"/>
      <c r="P1102" s="106"/>
      <c r="Q1102" s="106"/>
      <c r="R1102" s="106"/>
      <c r="S1102" s="106"/>
    </row>
    <row r="1103" spans="1:19" s="105" customFormat="1">
      <c r="A1103" s="106"/>
      <c r="B1103" s="194"/>
      <c r="C1103" s="139"/>
      <c r="D1103" s="140"/>
      <c r="E1103" s="139"/>
      <c r="F1103" s="139"/>
      <c r="G1103" s="140"/>
      <c r="H1103" s="139"/>
      <c r="I1103" s="141"/>
      <c r="J1103" s="142"/>
      <c r="K1103" s="143" t="s">
        <v>750</v>
      </c>
      <c r="N1103" s="106"/>
      <c r="O1103" s="106"/>
      <c r="P1103" s="106"/>
      <c r="Q1103" s="106"/>
      <c r="R1103" s="106"/>
      <c r="S1103" s="106"/>
    </row>
    <row r="1104" spans="1:19" s="105" customFormat="1">
      <c r="A1104" s="106"/>
      <c r="B1104" s="194"/>
      <c r="C1104" s="139"/>
      <c r="D1104" s="140"/>
      <c r="E1104" s="139"/>
      <c r="F1104" s="139"/>
      <c r="G1104" s="140"/>
      <c r="H1104" s="139"/>
      <c r="I1104" s="141"/>
      <c r="J1104" s="142"/>
      <c r="K1104" s="143" t="s">
        <v>751</v>
      </c>
      <c r="N1104" s="106"/>
      <c r="O1104" s="106"/>
      <c r="P1104" s="106"/>
      <c r="Q1104" s="106"/>
      <c r="R1104" s="106"/>
      <c r="S1104" s="106"/>
    </row>
    <row r="1105" spans="1:19" s="105" customFormat="1">
      <c r="A1105" s="106"/>
      <c r="B1105" s="194"/>
      <c r="C1105" s="139"/>
      <c r="D1105" s="140"/>
      <c r="E1105" s="139"/>
      <c r="F1105" s="139"/>
      <c r="G1105" s="140"/>
      <c r="H1105" s="139"/>
      <c r="I1105" s="141"/>
      <c r="J1105" s="142"/>
      <c r="K1105" s="143" t="s">
        <v>752</v>
      </c>
      <c r="N1105" s="106"/>
      <c r="O1105" s="106"/>
      <c r="P1105" s="106"/>
      <c r="Q1105" s="106"/>
      <c r="R1105" s="106"/>
      <c r="S1105" s="106"/>
    </row>
    <row r="1106" spans="1:19" s="105" customFormat="1">
      <c r="A1106" s="106"/>
      <c r="B1106" s="194"/>
      <c r="C1106" s="139"/>
      <c r="D1106" s="140"/>
      <c r="E1106" s="139"/>
      <c r="F1106" s="139"/>
      <c r="G1106" s="140"/>
      <c r="H1106" s="139"/>
      <c r="I1106" s="141"/>
      <c r="J1106" s="142"/>
      <c r="K1106" s="143" t="s">
        <v>753</v>
      </c>
      <c r="N1106" s="106"/>
      <c r="O1106" s="106"/>
      <c r="P1106" s="106"/>
      <c r="Q1106" s="106"/>
      <c r="R1106" s="106"/>
      <c r="S1106" s="106"/>
    </row>
    <row r="1107" spans="1:19" s="105" customFormat="1">
      <c r="A1107" s="106"/>
      <c r="B1107" s="194"/>
      <c r="C1107" s="139"/>
      <c r="D1107" s="140"/>
      <c r="E1107" s="139"/>
      <c r="F1107" s="139"/>
      <c r="G1107" s="140"/>
      <c r="H1107" s="139"/>
      <c r="I1107" s="141"/>
      <c r="J1107" s="142"/>
      <c r="K1107" s="143" t="s">
        <v>754</v>
      </c>
      <c r="N1107" s="106"/>
      <c r="O1107" s="106"/>
      <c r="P1107" s="106"/>
      <c r="Q1107" s="106"/>
      <c r="R1107" s="106"/>
      <c r="S1107" s="106"/>
    </row>
    <row r="1108" spans="1:19" s="105" customFormat="1">
      <c r="A1108" s="106"/>
      <c r="B1108" s="194"/>
      <c r="C1108" s="139"/>
      <c r="D1108" s="140"/>
      <c r="E1108" s="139"/>
      <c r="F1108" s="139"/>
      <c r="G1108" s="140"/>
      <c r="H1108" s="139"/>
      <c r="I1108" s="141"/>
      <c r="J1108" s="142"/>
      <c r="K1108" s="143" t="s">
        <v>755</v>
      </c>
      <c r="N1108" s="106"/>
      <c r="O1108" s="106"/>
      <c r="P1108" s="106"/>
      <c r="Q1108" s="106"/>
      <c r="R1108" s="106"/>
      <c r="S1108" s="106"/>
    </row>
    <row r="1109" spans="1:19" s="105" customFormat="1">
      <c r="A1109" s="106"/>
      <c r="B1109" s="194"/>
      <c r="C1109" s="139"/>
      <c r="D1109" s="140"/>
      <c r="E1109" s="139"/>
      <c r="F1109" s="139"/>
      <c r="G1109" s="140"/>
      <c r="H1109" s="139"/>
      <c r="I1109" s="141"/>
      <c r="J1109" s="142"/>
      <c r="K1109" s="143"/>
      <c r="N1109" s="106"/>
      <c r="O1109" s="106"/>
      <c r="P1109" s="106"/>
      <c r="Q1109" s="106"/>
      <c r="R1109" s="106"/>
      <c r="S1109" s="106"/>
    </row>
    <row r="1110" spans="1:19" s="105" customFormat="1">
      <c r="A1110" s="106"/>
      <c r="B1110" s="194" t="s">
        <v>86</v>
      </c>
      <c r="C1110" s="139"/>
      <c r="D1110" s="140"/>
      <c r="E1110" s="139">
        <v>0.77159999999999995</v>
      </c>
      <c r="F1110" s="139"/>
      <c r="G1110" s="140"/>
      <c r="H1110" s="139">
        <v>0.70009999999999994</v>
      </c>
      <c r="I1110" s="141">
        <f t="shared" ref="I1110:I1137" si="45">+H1110-E1110</f>
        <v>-7.1500000000000008E-2</v>
      </c>
      <c r="J1110" s="142">
        <f t="shared" ref="J1110:J1137" si="46">+I1110*100/H1110</f>
        <v>-10.212826739037281</v>
      </c>
      <c r="K1110" s="143" t="s">
        <v>756</v>
      </c>
      <c r="N1110" s="106"/>
      <c r="O1110" s="106"/>
      <c r="P1110" s="106"/>
      <c r="Q1110" s="106"/>
      <c r="R1110" s="106"/>
      <c r="S1110" s="106"/>
    </row>
    <row r="1111" spans="1:19" s="105" customFormat="1">
      <c r="A1111" s="106"/>
      <c r="B1111" s="194"/>
      <c r="C1111" s="139"/>
      <c r="D1111" s="140"/>
      <c r="E1111" s="139"/>
      <c r="F1111" s="139"/>
      <c r="G1111" s="140"/>
      <c r="H1111" s="139"/>
      <c r="I1111" s="141"/>
      <c r="J1111" s="142"/>
      <c r="K1111" s="175" t="s">
        <v>757</v>
      </c>
      <c r="N1111" s="106"/>
      <c r="O1111" s="106"/>
      <c r="P1111" s="106"/>
      <c r="Q1111" s="106"/>
      <c r="R1111" s="106"/>
      <c r="S1111" s="106"/>
    </row>
    <row r="1112" spans="1:19" s="105" customFormat="1">
      <c r="A1112" s="106"/>
      <c r="B1112" s="194"/>
      <c r="C1112" s="139"/>
      <c r="D1112" s="140"/>
      <c r="E1112" s="139"/>
      <c r="F1112" s="139"/>
      <c r="G1112" s="140"/>
      <c r="H1112" s="139"/>
      <c r="I1112" s="141"/>
      <c r="J1112" s="142"/>
      <c r="K1112" s="143" t="s">
        <v>758</v>
      </c>
      <c r="N1112" s="106"/>
      <c r="O1112" s="106"/>
      <c r="P1112" s="106"/>
      <c r="Q1112" s="106"/>
      <c r="R1112" s="106"/>
      <c r="S1112" s="106"/>
    </row>
    <row r="1113" spans="1:19" s="105" customFormat="1">
      <c r="A1113" s="106"/>
      <c r="B1113" s="194"/>
      <c r="C1113" s="139"/>
      <c r="D1113" s="140"/>
      <c r="E1113" s="139"/>
      <c r="F1113" s="139"/>
      <c r="G1113" s="140"/>
      <c r="H1113" s="139"/>
      <c r="I1113" s="141"/>
      <c r="J1113" s="142"/>
      <c r="K1113" s="143" t="s">
        <v>759</v>
      </c>
      <c r="N1113" s="106"/>
      <c r="O1113" s="106"/>
      <c r="P1113" s="106"/>
      <c r="Q1113" s="106"/>
      <c r="R1113" s="106"/>
      <c r="S1113" s="106"/>
    </row>
    <row r="1114" spans="1:19" s="105" customFormat="1">
      <c r="A1114" s="106"/>
      <c r="B1114" s="194"/>
      <c r="C1114" s="139"/>
      <c r="D1114" s="140"/>
      <c r="E1114" s="139"/>
      <c r="F1114" s="139"/>
      <c r="G1114" s="140"/>
      <c r="H1114" s="139"/>
      <c r="I1114" s="141"/>
      <c r="J1114" s="142"/>
      <c r="K1114" s="143" t="s">
        <v>760</v>
      </c>
      <c r="N1114" s="106"/>
      <c r="O1114" s="106"/>
      <c r="P1114" s="106"/>
      <c r="Q1114" s="106"/>
      <c r="R1114" s="106"/>
      <c r="S1114" s="106"/>
    </row>
    <row r="1115" spans="1:19" s="105" customFormat="1" ht="56.25">
      <c r="A1115" s="106"/>
      <c r="B1115" s="194"/>
      <c r="C1115" s="139"/>
      <c r="D1115" s="140"/>
      <c r="E1115" s="139"/>
      <c r="F1115" s="139"/>
      <c r="G1115" s="140"/>
      <c r="H1115" s="139"/>
      <c r="I1115" s="141"/>
      <c r="J1115" s="142"/>
      <c r="K1115" s="175" t="s">
        <v>761</v>
      </c>
      <c r="N1115" s="106"/>
      <c r="O1115" s="106"/>
      <c r="P1115" s="106"/>
      <c r="Q1115" s="106"/>
      <c r="R1115" s="106"/>
      <c r="S1115" s="106"/>
    </row>
    <row r="1116" spans="1:19" s="105" customFormat="1" ht="37.5">
      <c r="A1116" s="106"/>
      <c r="B1116" s="194" t="s">
        <v>157</v>
      </c>
      <c r="C1116" s="139"/>
      <c r="D1116" s="140"/>
      <c r="E1116" s="139">
        <v>3.2763</v>
      </c>
      <c r="F1116" s="139"/>
      <c r="G1116" s="140"/>
      <c r="H1116" s="139">
        <v>5.0890300000000002</v>
      </c>
      <c r="I1116" s="141">
        <f t="shared" si="45"/>
        <v>1.8127300000000002</v>
      </c>
      <c r="J1116" s="142">
        <f t="shared" si="46"/>
        <v>35.620344152028977</v>
      </c>
      <c r="K1116" s="175" t="s">
        <v>762</v>
      </c>
      <c r="N1116" s="106"/>
      <c r="O1116" s="106"/>
      <c r="P1116" s="106"/>
      <c r="Q1116" s="106"/>
      <c r="R1116" s="106"/>
      <c r="S1116" s="106"/>
    </row>
    <row r="1117" spans="1:19" s="105" customFormat="1" ht="37.5">
      <c r="A1117" s="106"/>
      <c r="B1117" s="194"/>
      <c r="C1117" s="139"/>
      <c r="D1117" s="140"/>
      <c r="E1117" s="139"/>
      <c r="F1117" s="139"/>
      <c r="G1117" s="140"/>
      <c r="H1117" s="139"/>
      <c r="I1117" s="141"/>
      <c r="J1117" s="142"/>
      <c r="K1117" s="175" t="s">
        <v>763</v>
      </c>
      <c r="N1117" s="106"/>
      <c r="O1117" s="106"/>
      <c r="P1117" s="106"/>
      <c r="Q1117" s="106"/>
      <c r="R1117" s="106"/>
      <c r="S1117" s="106"/>
    </row>
    <row r="1118" spans="1:19" s="105" customFormat="1" ht="56.25">
      <c r="A1118" s="106"/>
      <c r="B1118" s="194"/>
      <c r="C1118" s="139"/>
      <c r="D1118" s="140"/>
      <c r="E1118" s="139"/>
      <c r="F1118" s="139"/>
      <c r="G1118" s="140"/>
      <c r="H1118" s="139"/>
      <c r="I1118" s="141"/>
      <c r="J1118" s="142"/>
      <c r="K1118" s="175" t="s">
        <v>764</v>
      </c>
      <c r="N1118" s="106"/>
      <c r="O1118" s="106"/>
      <c r="P1118" s="106"/>
      <c r="Q1118" s="106"/>
      <c r="R1118" s="106"/>
      <c r="S1118" s="106"/>
    </row>
    <row r="1119" spans="1:19" s="105" customFormat="1" ht="37.5">
      <c r="A1119" s="106"/>
      <c r="B1119" s="194"/>
      <c r="C1119" s="139"/>
      <c r="D1119" s="140"/>
      <c r="E1119" s="139"/>
      <c r="F1119" s="139"/>
      <c r="G1119" s="140"/>
      <c r="H1119" s="139"/>
      <c r="I1119" s="141"/>
      <c r="J1119" s="142"/>
      <c r="K1119" s="175" t="s">
        <v>765</v>
      </c>
      <c r="N1119" s="106"/>
      <c r="O1119" s="106"/>
      <c r="P1119" s="106"/>
      <c r="Q1119" s="106"/>
      <c r="R1119" s="106"/>
      <c r="S1119" s="106"/>
    </row>
    <row r="1120" spans="1:19" s="105" customFormat="1" ht="37.5">
      <c r="A1120" s="106"/>
      <c r="B1120" s="194"/>
      <c r="C1120" s="139"/>
      <c r="D1120" s="140"/>
      <c r="E1120" s="139"/>
      <c r="F1120" s="139"/>
      <c r="G1120" s="140"/>
      <c r="H1120" s="139"/>
      <c r="I1120" s="141"/>
      <c r="J1120" s="142"/>
      <c r="K1120" s="175" t="s">
        <v>766</v>
      </c>
      <c r="N1120" s="106"/>
      <c r="O1120" s="106"/>
      <c r="P1120" s="106"/>
      <c r="Q1120" s="106"/>
      <c r="R1120" s="106"/>
      <c r="S1120" s="106"/>
    </row>
    <row r="1121" spans="1:19" s="105" customFormat="1" ht="37.5">
      <c r="A1121" s="106"/>
      <c r="B1121" s="194"/>
      <c r="C1121" s="139"/>
      <c r="D1121" s="140"/>
      <c r="E1121" s="139"/>
      <c r="F1121" s="139"/>
      <c r="G1121" s="140"/>
      <c r="H1121" s="139"/>
      <c r="I1121" s="141"/>
      <c r="J1121" s="142"/>
      <c r="K1121" s="175" t="s">
        <v>767</v>
      </c>
      <c r="N1121" s="106"/>
      <c r="O1121" s="106"/>
      <c r="P1121" s="106"/>
      <c r="Q1121" s="106"/>
      <c r="R1121" s="106"/>
      <c r="S1121" s="106"/>
    </row>
    <row r="1122" spans="1:19" s="105" customFormat="1" ht="37.5">
      <c r="A1122" s="106"/>
      <c r="B1122" s="194"/>
      <c r="C1122" s="139"/>
      <c r="D1122" s="140"/>
      <c r="E1122" s="139"/>
      <c r="F1122" s="139"/>
      <c r="G1122" s="140"/>
      <c r="H1122" s="139"/>
      <c r="I1122" s="141"/>
      <c r="J1122" s="142"/>
      <c r="K1122" s="175" t="s">
        <v>768</v>
      </c>
      <c r="N1122" s="106"/>
      <c r="O1122" s="106"/>
      <c r="P1122" s="106"/>
      <c r="Q1122" s="106"/>
      <c r="R1122" s="106"/>
      <c r="S1122" s="106"/>
    </row>
    <row r="1123" spans="1:19" s="105" customFormat="1" ht="37.5">
      <c r="A1123" s="106"/>
      <c r="B1123" s="194"/>
      <c r="C1123" s="139"/>
      <c r="D1123" s="140"/>
      <c r="E1123" s="139"/>
      <c r="F1123" s="139"/>
      <c r="G1123" s="140"/>
      <c r="H1123" s="139"/>
      <c r="I1123" s="141"/>
      <c r="J1123" s="142"/>
      <c r="K1123" s="175" t="s">
        <v>769</v>
      </c>
      <c r="N1123" s="106"/>
      <c r="O1123" s="106"/>
      <c r="P1123" s="106"/>
      <c r="Q1123" s="106"/>
      <c r="R1123" s="106"/>
      <c r="S1123" s="106"/>
    </row>
    <row r="1124" spans="1:19" s="105" customFormat="1" ht="75">
      <c r="A1124" s="106"/>
      <c r="B1124" s="194" t="s">
        <v>88</v>
      </c>
      <c r="C1124" s="139"/>
      <c r="D1124" s="140"/>
      <c r="E1124" s="139"/>
      <c r="F1124" s="139"/>
      <c r="G1124" s="140"/>
      <c r="H1124" s="139">
        <v>9.2549999999999993E-2</v>
      </c>
      <c r="I1124" s="141">
        <f t="shared" si="45"/>
        <v>9.2549999999999993E-2</v>
      </c>
      <c r="J1124" s="142">
        <f t="shared" si="46"/>
        <v>100</v>
      </c>
      <c r="K1124" s="175" t="s">
        <v>770</v>
      </c>
      <c r="N1124" s="106"/>
      <c r="O1124" s="106"/>
      <c r="P1124" s="106"/>
      <c r="Q1124" s="106"/>
      <c r="R1124" s="106"/>
      <c r="S1124" s="106"/>
    </row>
    <row r="1125" spans="1:19" s="105" customFormat="1">
      <c r="A1125" s="106"/>
      <c r="B1125" s="194" t="s">
        <v>771</v>
      </c>
      <c r="C1125" s="139"/>
      <c r="D1125" s="140"/>
      <c r="E1125" s="139">
        <v>1.7000000000000001E-2</v>
      </c>
      <c r="F1125" s="139"/>
      <c r="G1125" s="140"/>
      <c r="H1125" s="139"/>
      <c r="I1125" s="141"/>
      <c r="J1125" s="142"/>
      <c r="K1125" s="143"/>
      <c r="N1125" s="106"/>
      <c r="O1125" s="106"/>
      <c r="P1125" s="106"/>
      <c r="Q1125" s="106"/>
      <c r="R1125" s="106"/>
      <c r="S1125" s="106"/>
    </row>
    <row r="1126" spans="1:19" s="105" customFormat="1">
      <c r="A1126" s="106"/>
      <c r="B1126" s="194" t="s">
        <v>772</v>
      </c>
      <c r="C1126" s="139"/>
      <c r="D1126" s="140"/>
      <c r="E1126" s="139">
        <v>0.12529999999999999</v>
      </c>
      <c r="F1126" s="139"/>
      <c r="G1126" s="140"/>
      <c r="H1126" s="139"/>
      <c r="I1126" s="141">
        <f t="shared" si="45"/>
        <v>-0.12529999999999999</v>
      </c>
      <c r="J1126" s="142">
        <v>0</v>
      </c>
      <c r="K1126" s="143"/>
      <c r="N1126" s="106"/>
      <c r="O1126" s="106"/>
      <c r="P1126" s="106"/>
      <c r="Q1126" s="106"/>
      <c r="R1126" s="106"/>
      <c r="S1126" s="106"/>
    </row>
    <row r="1127" spans="1:19" s="105" customFormat="1" ht="131.25">
      <c r="A1127" s="106"/>
      <c r="B1127" s="194" t="s">
        <v>773</v>
      </c>
      <c r="C1127" s="139"/>
      <c r="D1127" s="140"/>
      <c r="E1127" s="139">
        <v>1.83</v>
      </c>
      <c r="F1127" s="139"/>
      <c r="G1127" s="140"/>
      <c r="H1127" s="139">
        <v>3.5865</v>
      </c>
      <c r="I1127" s="141">
        <f t="shared" si="45"/>
        <v>1.7565</v>
      </c>
      <c r="J1127" s="142">
        <f t="shared" si="46"/>
        <v>48.975324132162278</v>
      </c>
      <c r="K1127" s="175" t="s">
        <v>774</v>
      </c>
      <c r="N1127" s="106"/>
      <c r="O1127" s="106"/>
      <c r="P1127" s="106"/>
      <c r="Q1127" s="106"/>
      <c r="R1127" s="106"/>
      <c r="S1127" s="106"/>
    </row>
    <row r="1128" spans="1:19" s="105" customFormat="1" ht="40.5">
      <c r="A1128" s="106"/>
      <c r="B1128" s="175" t="s">
        <v>69</v>
      </c>
      <c r="C1128" s="139"/>
      <c r="D1128" s="140"/>
      <c r="E1128" s="139"/>
      <c r="F1128" s="139"/>
      <c r="G1128" s="140"/>
      <c r="H1128" s="139">
        <f>+H1131</f>
        <v>0.18</v>
      </c>
      <c r="I1128" s="141">
        <f t="shared" si="45"/>
        <v>0.18</v>
      </c>
      <c r="J1128" s="142">
        <f t="shared" si="46"/>
        <v>100</v>
      </c>
      <c r="K1128" s="143"/>
      <c r="N1128" s="106"/>
      <c r="O1128" s="106"/>
      <c r="P1128" s="106"/>
      <c r="Q1128" s="106"/>
      <c r="R1128" s="106"/>
      <c r="S1128" s="106"/>
    </row>
    <row r="1129" spans="1:19" s="105" customFormat="1">
      <c r="A1129" s="106"/>
      <c r="B1129" s="194" t="s">
        <v>2</v>
      </c>
      <c r="C1129" s="139"/>
      <c r="D1129" s="140"/>
      <c r="E1129" s="139"/>
      <c r="F1129" s="139"/>
      <c r="G1129" s="140"/>
      <c r="H1129" s="139"/>
      <c r="I1129" s="141"/>
      <c r="J1129" s="142"/>
      <c r="K1129" s="143"/>
      <c r="N1129" s="106"/>
      <c r="O1129" s="106"/>
      <c r="P1129" s="106"/>
      <c r="Q1129" s="106"/>
      <c r="R1129" s="106"/>
      <c r="S1129" s="106"/>
    </row>
    <row r="1130" spans="1:19" s="105" customFormat="1">
      <c r="A1130" s="106"/>
      <c r="B1130" s="194" t="s">
        <v>3</v>
      </c>
      <c r="C1130" s="139"/>
      <c r="D1130" s="140"/>
      <c r="E1130" s="139"/>
      <c r="F1130" s="139"/>
      <c r="G1130" s="140"/>
      <c r="H1130" s="139"/>
      <c r="I1130" s="141"/>
      <c r="J1130" s="142"/>
      <c r="K1130" s="143"/>
      <c r="N1130" s="106"/>
      <c r="O1130" s="106"/>
      <c r="P1130" s="106"/>
      <c r="Q1130" s="106"/>
      <c r="R1130" s="106"/>
      <c r="S1130" s="106"/>
    </row>
    <row r="1131" spans="1:19" s="105" customFormat="1" ht="56.25">
      <c r="A1131" s="106"/>
      <c r="B1131" s="194" t="s">
        <v>775</v>
      </c>
      <c r="C1131" s="139"/>
      <c r="D1131" s="140"/>
      <c r="E1131" s="139"/>
      <c r="F1131" s="139"/>
      <c r="G1131" s="140"/>
      <c r="H1131" s="139">
        <v>0.18</v>
      </c>
      <c r="I1131" s="141">
        <f t="shared" si="45"/>
        <v>0.18</v>
      </c>
      <c r="J1131" s="142">
        <f t="shared" si="46"/>
        <v>100</v>
      </c>
      <c r="K1131" s="175" t="s">
        <v>776</v>
      </c>
      <c r="N1131" s="106"/>
      <c r="O1131" s="106"/>
      <c r="P1131" s="106"/>
      <c r="Q1131" s="106"/>
      <c r="R1131" s="106"/>
      <c r="S1131" s="106"/>
    </row>
    <row r="1132" spans="1:19" s="105" customFormat="1">
      <c r="A1132" s="106"/>
      <c r="B1132" s="175" t="s">
        <v>22</v>
      </c>
      <c r="C1132" s="139"/>
      <c r="D1132" s="140"/>
      <c r="E1132" s="139"/>
      <c r="F1132" s="139"/>
      <c r="G1132" s="140"/>
      <c r="H1132" s="139"/>
      <c r="I1132" s="141"/>
      <c r="J1132" s="142"/>
      <c r="K1132" s="143"/>
      <c r="N1132" s="106"/>
      <c r="O1132" s="106"/>
      <c r="P1132" s="106"/>
      <c r="Q1132" s="106"/>
      <c r="R1132" s="106"/>
      <c r="S1132" s="106"/>
    </row>
    <row r="1133" spans="1:19" s="105" customFormat="1">
      <c r="A1133" s="106"/>
      <c r="B1133" s="194" t="s">
        <v>21</v>
      </c>
      <c r="C1133" s="139"/>
      <c r="D1133" s="140"/>
      <c r="E1133" s="139"/>
      <c r="F1133" s="139"/>
      <c r="G1133" s="140"/>
      <c r="H1133" s="139"/>
      <c r="I1133" s="141"/>
      <c r="J1133" s="142"/>
      <c r="K1133" s="143"/>
      <c r="N1133" s="106"/>
      <c r="O1133" s="106"/>
      <c r="P1133" s="106"/>
      <c r="Q1133" s="106"/>
      <c r="R1133" s="106"/>
      <c r="S1133" s="106"/>
    </row>
    <row r="1134" spans="1:19" s="105" customFormat="1">
      <c r="A1134" s="106"/>
      <c r="B1134" s="175" t="s">
        <v>20</v>
      </c>
      <c r="C1134" s="139"/>
      <c r="D1134" s="140"/>
      <c r="E1134" s="139"/>
      <c r="F1134" s="139"/>
      <c r="G1134" s="140"/>
      <c r="H1134" s="139"/>
      <c r="I1134" s="141"/>
      <c r="J1134" s="142"/>
      <c r="K1134" s="143"/>
      <c r="N1134" s="106"/>
      <c r="O1134" s="106"/>
      <c r="P1134" s="106"/>
      <c r="Q1134" s="106"/>
      <c r="R1134" s="106"/>
      <c r="S1134" s="106"/>
    </row>
    <row r="1135" spans="1:19" s="105" customFormat="1">
      <c r="A1135" s="106"/>
      <c r="B1135" s="194" t="s">
        <v>17</v>
      </c>
      <c r="C1135" s="139"/>
      <c r="D1135" s="140"/>
      <c r="E1135" s="139"/>
      <c r="F1135" s="139"/>
      <c r="G1135" s="140"/>
      <c r="H1135" s="139"/>
      <c r="I1135" s="141"/>
      <c r="J1135" s="142"/>
      <c r="K1135" s="143"/>
      <c r="N1135" s="106"/>
      <c r="O1135" s="106"/>
      <c r="P1135" s="106"/>
      <c r="Q1135" s="106"/>
      <c r="R1135" s="106"/>
      <c r="S1135" s="106"/>
    </row>
    <row r="1136" spans="1:19" s="105" customFormat="1">
      <c r="A1136" s="106"/>
      <c r="B1136" s="175" t="s">
        <v>44</v>
      </c>
      <c r="C1136" s="139"/>
      <c r="D1136" s="140"/>
      <c r="E1136" s="139">
        <f>SUM(E1137:E1137)</f>
        <v>1.7999999999999999E-2</v>
      </c>
      <c r="F1136" s="139"/>
      <c r="G1136" s="140"/>
      <c r="H1136" s="139">
        <f>SUM(H1137:H1137)</f>
        <v>5.2209999999999999E-2</v>
      </c>
      <c r="I1136" s="141">
        <f t="shared" si="45"/>
        <v>3.4210000000000004E-2</v>
      </c>
      <c r="J1136" s="142">
        <f t="shared" si="46"/>
        <v>65.523846006512173</v>
      </c>
      <c r="K1136" s="143"/>
      <c r="N1136" s="106"/>
      <c r="O1136" s="106"/>
      <c r="P1136" s="106"/>
      <c r="Q1136" s="106"/>
      <c r="R1136" s="106"/>
      <c r="S1136" s="106"/>
    </row>
    <row r="1137" spans="1:19" s="105" customFormat="1" ht="37.5">
      <c r="A1137" s="106"/>
      <c r="B1137" s="194" t="s">
        <v>158</v>
      </c>
      <c r="C1137" s="139"/>
      <c r="D1137" s="140"/>
      <c r="E1137" s="139">
        <v>1.7999999999999999E-2</v>
      </c>
      <c r="F1137" s="139"/>
      <c r="G1137" s="140"/>
      <c r="H1137" s="139">
        <v>5.2209999999999999E-2</v>
      </c>
      <c r="I1137" s="141">
        <f t="shared" si="45"/>
        <v>3.4210000000000004E-2</v>
      </c>
      <c r="J1137" s="142">
        <f t="shared" si="46"/>
        <v>65.523846006512173</v>
      </c>
      <c r="K1137" s="175" t="s">
        <v>777</v>
      </c>
      <c r="N1137" s="106"/>
      <c r="O1137" s="106"/>
      <c r="P1137" s="106"/>
      <c r="Q1137" s="106"/>
      <c r="R1137" s="106"/>
      <c r="S1137" s="106"/>
    </row>
    <row r="1138" spans="1:19" s="105" customFormat="1">
      <c r="A1138" s="106"/>
      <c r="B1138" s="175" t="s">
        <v>45</v>
      </c>
      <c r="C1138" s="139"/>
      <c r="D1138" s="140"/>
      <c r="E1138" s="139">
        <f>SUM(E1139:E1143)</f>
        <v>0</v>
      </c>
      <c r="F1138" s="139"/>
      <c r="G1138" s="140"/>
      <c r="H1138" s="139">
        <f>SUM(H1139:H1143)</f>
        <v>0</v>
      </c>
      <c r="I1138" s="141"/>
      <c r="J1138" s="142"/>
      <c r="K1138" s="143"/>
      <c r="N1138" s="106"/>
      <c r="O1138" s="106"/>
      <c r="P1138" s="106"/>
      <c r="Q1138" s="106"/>
      <c r="R1138" s="106"/>
      <c r="S1138" s="106"/>
    </row>
    <row r="1139" spans="1:19" s="105" customFormat="1">
      <c r="A1139" s="106"/>
      <c r="B1139" s="194" t="s">
        <v>106</v>
      </c>
      <c r="C1139" s="139"/>
      <c r="D1139" s="140"/>
      <c r="E1139" s="139"/>
      <c r="F1139" s="139"/>
      <c r="G1139" s="140"/>
      <c r="H1139" s="139"/>
      <c r="I1139" s="139"/>
      <c r="J1139" s="139"/>
      <c r="K1139" s="143"/>
      <c r="N1139" s="106"/>
      <c r="O1139" s="106"/>
      <c r="P1139" s="106"/>
      <c r="Q1139" s="106"/>
      <c r="R1139" s="106"/>
      <c r="S1139" s="106"/>
    </row>
    <row r="1140" spans="1:19" s="105" customFormat="1">
      <c r="A1140" s="106"/>
      <c r="B1140" s="194" t="s">
        <v>107</v>
      </c>
      <c r="C1140" s="139"/>
      <c r="D1140" s="140"/>
      <c r="E1140" s="139"/>
      <c r="F1140" s="139"/>
      <c r="G1140" s="140"/>
      <c r="H1140" s="139"/>
      <c r="I1140" s="139"/>
      <c r="J1140" s="139"/>
      <c r="K1140" s="143"/>
      <c r="N1140" s="106"/>
      <c r="O1140" s="106"/>
      <c r="P1140" s="106"/>
      <c r="Q1140" s="106"/>
      <c r="R1140" s="106"/>
      <c r="S1140" s="106"/>
    </row>
    <row r="1141" spans="1:19" s="105" customFormat="1">
      <c r="A1141" s="106"/>
      <c r="B1141" s="194" t="s">
        <v>108</v>
      </c>
      <c r="C1141" s="139"/>
      <c r="D1141" s="140"/>
      <c r="E1141" s="139"/>
      <c r="F1141" s="139"/>
      <c r="G1141" s="140"/>
      <c r="H1141" s="139"/>
      <c r="I1141" s="139"/>
      <c r="J1141" s="139"/>
      <c r="K1141" s="143"/>
      <c r="N1141" s="106"/>
      <c r="O1141" s="106"/>
      <c r="P1141" s="106"/>
      <c r="Q1141" s="106"/>
      <c r="R1141" s="106"/>
      <c r="S1141" s="106"/>
    </row>
    <row r="1142" spans="1:19" s="105" customFormat="1">
      <c r="A1142" s="106"/>
      <c r="B1142" s="194" t="s">
        <v>109</v>
      </c>
      <c r="C1142" s="139"/>
      <c r="D1142" s="140"/>
      <c r="E1142" s="139"/>
      <c r="F1142" s="139"/>
      <c r="G1142" s="140"/>
      <c r="H1142" s="139"/>
      <c r="I1142" s="139"/>
      <c r="J1142" s="139"/>
      <c r="K1142" s="143"/>
      <c r="N1142" s="106"/>
      <c r="O1142" s="106"/>
      <c r="P1142" s="106"/>
      <c r="Q1142" s="106"/>
      <c r="R1142" s="106"/>
      <c r="S1142" s="106"/>
    </row>
    <row r="1143" spans="1:19" s="105" customFormat="1">
      <c r="A1143" s="106"/>
      <c r="B1143" s="194" t="s">
        <v>111</v>
      </c>
      <c r="C1143" s="139"/>
      <c r="D1143" s="140"/>
      <c r="E1143" s="139"/>
      <c r="F1143" s="139"/>
      <c r="G1143" s="140"/>
      <c r="H1143" s="139"/>
      <c r="I1143" s="139"/>
      <c r="J1143" s="139"/>
      <c r="K1143" s="143"/>
      <c r="N1143" s="106"/>
      <c r="O1143" s="106"/>
      <c r="P1143" s="106"/>
      <c r="Q1143" s="106"/>
      <c r="R1143" s="106"/>
      <c r="S1143" s="106"/>
    </row>
    <row r="1144" spans="1:19" s="105" customFormat="1">
      <c r="A1144" s="106"/>
      <c r="B1144" s="175" t="s">
        <v>46</v>
      </c>
      <c r="C1144" s="139"/>
      <c r="D1144" s="140"/>
      <c r="E1144" s="139">
        <f>+E1145+E1156</f>
        <v>0</v>
      </c>
      <c r="F1144" s="139"/>
      <c r="G1144" s="140"/>
      <c r="H1144" s="139">
        <f>+H1145+H1156</f>
        <v>0</v>
      </c>
      <c r="I1144" s="143"/>
      <c r="J1144" s="143"/>
      <c r="K1144" s="143"/>
      <c r="N1144" s="106"/>
      <c r="O1144" s="106"/>
      <c r="P1144" s="106"/>
      <c r="Q1144" s="106"/>
      <c r="R1144" s="106"/>
      <c r="S1144" s="106"/>
    </row>
    <row r="1145" spans="1:19" s="105" customFormat="1">
      <c r="A1145" s="106"/>
      <c r="B1145" s="175" t="s">
        <v>47</v>
      </c>
      <c r="C1145" s="139"/>
      <c r="D1145" s="140"/>
      <c r="E1145" s="139">
        <f>+E1147</f>
        <v>0</v>
      </c>
      <c r="F1145" s="139"/>
      <c r="G1145" s="140"/>
      <c r="H1145" s="139">
        <f>+H1147</f>
        <v>0</v>
      </c>
      <c r="I1145" s="143"/>
      <c r="J1145" s="143"/>
      <c r="K1145" s="143"/>
      <c r="N1145" s="106"/>
      <c r="O1145" s="106"/>
      <c r="P1145" s="106"/>
      <c r="Q1145" s="106"/>
      <c r="R1145" s="106"/>
      <c r="S1145" s="106"/>
    </row>
    <row r="1146" spans="1:19" s="105" customFormat="1">
      <c r="A1146" s="106"/>
      <c r="B1146" s="175" t="s">
        <v>19</v>
      </c>
      <c r="C1146" s="139"/>
      <c r="D1146" s="140"/>
      <c r="E1146" s="139"/>
      <c r="F1146" s="139"/>
      <c r="G1146" s="140"/>
      <c r="H1146" s="139"/>
      <c r="I1146" s="143"/>
      <c r="J1146" s="143"/>
      <c r="K1146" s="143"/>
      <c r="N1146" s="106"/>
      <c r="O1146" s="106"/>
      <c r="P1146" s="106"/>
      <c r="Q1146" s="106"/>
      <c r="R1146" s="106"/>
      <c r="S1146" s="106"/>
    </row>
    <row r="1147" spans="1:19" s="105" customFormat="1">
      <c r="A1147" s="106"/>
      <c r="B1147" s="175" t="s">
        <v>110</v>
      </c>
      <c r="C1147" s="139"/>
      <c r="D1147" s="140"/>
      <c r="E1147" s="139"/>
      <c r="F1147" s="139"/>
      <c r="G1147" s="140"/>
      <c r="H1147" s="139"/>
      <c r="I1147" s="143"/>
      <c r="J1147" s="143"/>
      <c r="K1147" s="143"/>
      <c r="N1147" s="106"/>
      <c r="O1147" s="106"/>
      <c r="P1147" s="106"/>
      <c r="Q1147" s="106"/>
      <c r="R1147" s="106"/>
      <c r="S1147" s="106"/>
    </row>
    <row r="1148" spans="1:19" s="105" customFormat="1">
      <c r="A1148" s="106"/>
      <c r="B1148" s="194" t="s">
        <v>17</v>
      </c>
      <c r="C1148" s="139"/>
      <c r="D1148" s="140"/>
      <c r="E1148" s="139"/>
      <c r="F1148" s="139"/>
      <c r="G1148" s="140"/>
      <c r="H1148" s="139"/>
      <c r="I1148" s="139"/>
      <c r="J1148" s="139"/>
      <c r="K1148" s="143"/>
      <c r="N1148" s="106"/>
      <c r="O1148" s="106"/>
      <c r="P1148" s="106"/>
      <c r="Q1148" s="106"/>
      <c r="R1148" s="106"/>
      <c r="S1148" s="106"/>
    </row>
    <row r="1149" spans="1:19" s="105" customFormat="1">
      <c r="A1149" s="106"/>
      <c r="B1149" s="194" t="s">
        <v>18</v>
      </c>
      <c r="C1149" s="139"/>
      <c r="D1149" s="140"/>
      <c r="E1149" s="139"/>
      <c r="F1149" s="139"/>
      <c r="G1149" s="140"/>
      <c r="H1149" s="139"/>
      <c r="I1149" s="139"/>
      <c r="J1149" s="139"/>
      <c r="K1149" s="143"/>
      <c r="N1149" s="106"/>
      <c r="O1149" s="106"/>
      <c r="P1149" s="106"/>
      <c r="Q1149" s="106"/>
      <c r="R1149" s="106"/>
      <c r="S1149" s="106"/>
    </row>
    <row r="1150" spans="1:19" s="105" customFormat="1">
      <c r="A1150" s="106"/>
      <c r="B1150" s="175" t="s">
        <v>22</v>
      </c>
      <c r="C1150" s="139"/>
      <c r="D1150" s="140"/>
      <c r="E1150" s="139"/>
      <c r="F1150" s="139"/>
      <c r="G1150" s="140"/>
      <c r="H1150" s="139"/>
      <c r="I1150" s="139"/>
      <c r="J1150" s="139"/>
      <c r="K1150" s="143"/>
      <c r="N1150" s="106"/>
      <c r="O1150" s="106"/>
      <c r="P1150" s="106"/>
      <c r="Q1150" s="106"/>
      <c r="R1150" s="106"/>
      <c r="S1150" s="106"/>
    </row>
    <row r="1151" spans="1:19" s="105" customFormat="1">
      <c r="A1151" s="106"/>
      <c r="B1151" s="175" t="s">
        <v>48</v>
      </c>
      <c r="C1151" s="139"/>
      <c r="D1151" s="140"/>
      <c r="E1151" s="139"/>
      <c r="F1151" s="139"/>
      <c r="G1151" s="140"/>
      <c r="H1151" s="139"/>
      <c r="I1151" s="139"/>
      <c r="J1151" s="139"/>
      <c r="K1151" s="143"/>
      <c r="N1151" s="106"/>
      <c r="O1151" s="106"/>
      <c r="P1151" s="106"/>
      <c r="Q1151" s="106"/>
      <c r="R1151" s="106"/>
      <c r="S1151" s="106"/>
    </row>
    <row r="1152" spans="1:19" s="105" customFormat="1">
      <c r="A1152" s="106"/>
      <c r="B1152" s="194" t="s">
        <v>23</v>
      </c>
      <c r="C1152" s="139"/>
      <c r="D1152" s="140"/>
      <c r="E1152" s="139"/>
      <c r="F1152" s="139"/>
      <c r="G1152" s="140"/>
      <c r="H1152" s="139"/>
      <c r="I1152" s="139"/>
      <c r="J1152" s="139"/>
      <c r="K1152" s="143"/>
      <c r="N1152" s="106"/>
      <c r="O1152" s="106"/>
      <c r="P1152" s="106"/>
      <c r="Q1152" s="106"/>
      <c r="R1152" s="106"/>
      <c r="S1152" s="106"/>
    </row>
    <row r="1153" spans="1:19" s="105" customFormat="1">
      <c r="A1153" s="106"/>
      <c r="B1153" s="175" t="s">
        <v>20</v>
      </c>
      <c r="C1153" s="139"/>
      <c r="D1153" s="140"/>
      <c r="E1153" s="139"/>
      <c r="F1153" s="139"/>
      <c r="G1153" s="140"/>
      <c r="H1153" s="139"/>
      <c r="I1153" s="139"/>
      <c r="J1153" s="139"/>
      <c r="K1153" s="143"/>
      <c r="N1153" s="106"/>
      <c r="O1153" s="106"/>
      <c r="P1153" s="106"/>
      <c r="Q1153" s="106"/>
      <c r="R1153" s="106"/>
      <c r="S1153" s="106"/>
    </row>
    <row r="1154" spans="1:19" s="105" customFormat="1">
      <c r="A1154" s="106"/>
      <c r="B1154" s="175" t="s">
        <v>48</v>
      </c>
      <c r="C1154" s="139"/>
      <c r="D1154" s="140"/>
      <c r="E1154" s="139"/>
      <c r="F1154" s="139"/>
      <c r="G1154" s="140"/>
      <c r="H1154" s="139"/>
      <c r="I1154" s="139"/>
      <c r="J1154" s="139"/>
      <c r="K1154" s="143"/>
      <c r="N1154" s="106"/>
      <c r="O1154" s="106"/>
      <c r="P1154" s="106"/>
      <c r="Q1154" s="106"/>
      <c r="R1154" s="106"/>
      <c r="S1154" s="106"/>
    </row>
    <row r="1155" spans="1:19" s="105" customFormat="1">
      <c r="A1155" s="106"/>
      <c r="B1155" s="194" t="s">
        <v>23</v>
      </c>
      <c r="C1155" s="139"/>
      <c r="D1155" s="140"/>
      <c r="E1155" s="139"/>
      <c r="F1155" s="139"/>
      <c r="G1155" s="140"/>
      <c r="H1155" s="139"/>
      <c r="I1155" s="139"/>
      <c r="J1155" s="139"/>
      <c r="K1155" s="143"/>
      <c r="N1155" s="106"/>
      <c r="O1155" s="106"/>
      <c r="P1155" s="106"/>
      <c r="Q1155" s="106"/>
      <c r="R1155" s="106"/>
      <c r="S1155" s="106"/>
    </row>
    <row r="1156" spans="1:19" s="105" customFormat="1">
      <c r="A1156" s="106"/>
      <c r="B1156" s="175" t="s">
        <v>49</v>
      </c>
      <c r="C1156" s="139"/>
      <c r="D1156" s="140"/>
      <c r="E1156" s="139">
        <f>+E1158</f>
        <v>0</v>
      </c>
      <c r="F1156" s="139"/>
      <c r="G1156" s="140"/>
      <c r="H1156" s="139">
        <f>+H1158</f>
        <v>0</v>
      </c>
      <c r="I1156" s="143"/>
      <c r="J1156" s="143"/>
      <c r="K1156" s="143"/>
      <c r="N1156" s="106"/>
      <c r="O1156" s="106"/>
      <c r="P1156" s="106"/>
      <c r="Q1156" s="106"/>
      <c r="R1156" s="106"/>
      <c r="S1156" s="106"/>
    </row>
    <row r="1157" spans="1:19" s="105" customFormat="1">
      <c r="A1157" s="106"/>
      <c r="B1157" s="175" t="s">
        <v>19</v>
      </c>
      <c r="C1157" s="139"/>
      <c r="D1157" s="140"/>
      <c r="E1157" s="139"/>
      <c r="F1157" s="139"/>
      <c r="G1157" s="140"/>
      <c r="H1157" s="139"/>
      <c r="I1157" s="139"/>
      <c r="J1157" s="139"/>
      <c r="K1157" s="143"/>
      <c r="N1157" s="106"/>
      <c r="O1157" s="106"/>
      <c r="P1157" s="106"/>
      <c r="Q1157" s="106"/>
      <c r="R1157" s="106"/>
      <c r="S1157" s="106"/>
    </row>
    <row r="1158" spans="1:19" s="105" customFormat="1">
      <c r="A1158" s="106"/>
      <c r="B1158" s="175" t="s">
        <v>50</v>
      </c>
      <c r="C1158" s="139"/>
      <c r="D1158" s="140"/>
      <c r="E1158" s="139"/>
      <c r="F1158" s="139"/>
      <c r="G1158" s="140"/>
      <c r="H1158" s="139"/>
      <c r="I1158" s="139"/>
      <c r="J1158" s="139"/>
      <c r="K1158" s="143"/>
      <c r="N1158" s="106"/>
      <c r="O1158" s="106"/>
      <c r="P1158" s="106"/>
      <c r="Q1158" s="106"/>
      <c r="R1158" s="106"/>
      <c r="S1158" s="106"/>
    </row>
    <row r="1159" spans="1:19" s="105" customFormat="1" ht="27.75" customHeight="1">
      <c r="A1159" s="106"/>
      <c r="B1159" s="194" t="s">
        <v>17</v>
      </c>
      <c r="C1159" s="139"/>
      <c r="D1159" s="140"/>
      <c r="E1159" s="139"/>
      <c r="F1159" s="139"/>
      <c r="G1159" s="140"/>
      <c r="H1159" s="139"/>
      <c r="I1159" s="139"/>
      <c r="J1159" s="139"/>
      <c r="K1159" s="143"/>
      <c r="N1159" s="106"/>
      <c r="O1159" s="106"/>
      <c r="P1159" s="106"/>
      <c r="Q1159" s="106"/>
      <c r="R1159" s="106"/>
      <c r="S1159" s="106"/>
    </row>
    <row r="1160" spans="1:19" s="105" customFormat="1" ht="27.75" customHeight="1">
      <c r="A1160" s="106"/>
      <c r="B1160" s="194" t="s">
        <v>18</v>
      </c>
      <c r="C1160" s="139"/>
      <c r="D1160" s="140"/>
      <c r="E1160" s="139"/>
      <c r="F1160" s="139"/>
      <c r="G1160" s="140"/>
      <c r="H1160" s="139"/>
      <c r="I1160" s="139"/>
      <c r="J1160" s="139"/>
      <c r="K1160" s="143"/>
      <c r="N1160" s="106"/>
      <c r="O1160" s="106"/>
      <c r="P1160" s="106"/>
      <c r="Q1160" s="106"/>
      <c r="R1160" s="106"/>
      <c r="S1160" s="106"/>
    </row>
    <row r="1161" spans="1:19" s="105" customFormat="1">
      <c r="A1161" s="106"/>
      <c r="B1161" s="175" t="s">
        <v>22</v>
      </c>
      <c r="C1161" s="139"/>
      <c r="D1161" s="140"/>
      <c r="E1161" s="139"/>
      <c r="F1161" s="139"/>
      <c r="G1161" s="140"/>
      <c r="H1161" s="139"/>
      <c r="I1161" s="139"/>
      <c r="J1161" s="139"/>
      <c r="K1161" s="143"/>
      <c r="N1161" s="106"/>
      <c r="O1161" s="106"/>
      <c r="P1161" s="106"/>
      <c r="Q1161" s="106"/>
      <c r="R1161" s="106"/>
      <c r="S1161" s="106"/>
    </row>
    <row r="1162" spans="1:19" s="105" customFormat="1">
      <c r="A1162" s="106"/>
      <c r="B1162" s="175" t="s">
        <v>51</v>
      </c>
      <c r="C1162" s="139"/>
      <c r="D1162" s="140"/>
      <c r="E1162" s="139"/>
      <c r="F1162" s="139"/>
      <c r="G1162" s="140"/>
      <c r="H1162" s="139"/>
      <c r="I1162" s="139"/>
      <c r="J1162" s="139"/>
      <c r="K1162" s="143"/>
      <c r="N1162" s="106"/>
      <c r="O1162" s="106"/>
      <c r="P1162" s="106"/>
      <c r="Q1162" s="106"/>
      <c r="R1162" s="106"/>
      <c r="S1162" s="106"/>
    </row>
    <row r="1163" spans="1:19" s="105" customFormat="1">
      <c r="A1163" s="106"/>
      <c r="B1163" s="194" t="s">
        <v>23</v>
      </c>
      <c r="C1163" s="139"/>
      <c r="D1163" s="140"/>
      <c r="E1163" s="139"/>
      <c r="F1163" s="139"/>
      <c r="G1163" s="140"/>
      <c r="H1163" s="139"/>
      <c r="I1163" s="139"/>
      <c r="J1163" s="139"/>
      <c r="K1163" s="143"/>
      <c r="N1163" s="106"/>
      <c r="O1163" s="106"/>
      <c r="P1163" s="106"/>
      <c r="Q1163" s="106"/>
      <c r="R1163" s="106"/>
      <c r="S1163" s="106"/>
    </row>
    <row r="1164" spans="1:19" s="105" customFormat="1">
      <c r="A1164" s="106"/>
      <c r="B1164" s="175" t="s">
        <v>20</v>
      </c>
      <c r="C1164" s="139"/>
      <c r="D1164" s="140"/>
      <c r="E1164" s="139"/>
      <c r="F1164" s="139"/>
      <c r="G1164" s="140"/>
      <c r="H1164" s="139"/>
      <c r="I1164" s="139"/>
      <c r="J1164" s="139"/>
      <c r="K1164" s="143"/>
      <c r="N1164" s="106"/>
      <c r="O1164" s="106"/>
      <c r="P1164" s="106"/>
      <c r="Q1164" s="106"/>
      <c r="R1164" s="106"/>
      <c r="S1164" s="106"/>
    </row>
    <row r="1165" spans="1:19" s="105" customFormat="1">
      <c r="A1165" s="106"/>
      <c r="B1165" s="175" t="s">
        <v>51</v>
      </c>
      <c r="C1165" s="139"/>
      <c r="D1165" s="140"/>
      <c r="E1165" s="139"/>
      <c r="F1165" s="139"/>
      <c r="G1165" s="140"/>
      <c r="H1165" s="139"/>
      <c r="I1165" s="139"/>
      <c r="J1165" s="139"/>
      <c r="K1165" s="143"/>
      <c r="N1165" s="106"/>
      <c r="O1165" s="106"/>
      <c r="P1165" s="106"/>
      <c r="Q1165" s="106"/>
      <c r="R1165" s="106"/>
      <c r="S1165" s="106"/>
    </row>
    <row r="1166" spans="1:19" s="105" customFormat="1">
      <c r="A1166" s="106"/>
      <c r="B1166" s="194" t="s">
        <v>23</v>
      </c>
      <c r="C1166" s="139"/>
      <c r="D1166" s="140"/>
      <c r="E1166" s="139"/>
      <c r="F1166" s="139"/>
      <c r="G1166" s="140"/>
      <c r="H1166" s="139"/>
      <c r="I1166" s="139"/>
      <c r="J1166" s="139"/>
      <c r="K1166" s="143"/>
      <c r="N1166" s="106"/>
      <c r="O1166" s="106"/>
      <c r="P1166" s="106"/>
      <c r="Q1166" s="106"/>
      <c r="R1166" s="106"/>
      <c r="S1166" s="106"/>
    </row>
    <row r="1167" spans="1:19" s="105" customFormat="1">
      <c r="A1167" s="106"/>
      <c r="B1167" s="175" t="s">
        <v>53</v>
      </c>
      <c r="C1167" s="139"/>
      <c r="D1167" s="140"/>
      <c r="E1167" s="139"/>
      <c r="F1167" s="139"/>
      <c r="G1167" s="140"/>
      <c r="H1167" s="139"/>
      <c r="I1167" s="139"/>
      <c r="J1167" s="139"/>
      <c r="K1167" s="143"/>
      <c r="N1167" s="106"/>
      <c r="O1167" s="106"/>
      <c r="P1167" s="106"/>
      <c r="Q1167" s="106"/>
      <c r="R1167" s="106"/>
      <c r="S1167" s="106"/>
    </row>
    <row r="1168" spans="1:19" s="105" customFormat="1">
      <c r="A1168" s="106"/>
      <c r="B1168" s="175" t="s">
        <v>52</v>
      </c>
      <c r="C1168" s="139"/>
      <c r="D1168" s="140"/>
      <c r="E1168" s="139"/>
      <c r="F1168" s="139"/>
      <c r="G1168" s="140"/>
      <c r="H1168" s="139"/>
      <c r="I1168" s="139"/>
      <c r="J1168" s="139"/>
      <c r="K1168" s="143"/>
      <c r="N1168" s="106"/>
      <c r="O1168" s="106"/>
      <c r="P1168" s="106"/>
      <c r="Q1168" s="106"/>
      <c r="R1168" s="106"/>
      <c r="S1168" s="106"/>
    </row>
    <row r="1169" spans="1:19" s="105" customFormat="1">
      <c r="A1169" s="106"/>
      <c r="B1169" s="175"/>
      <c r="C1169" s="139"/>
      <c r="D1169" s="140"/>
      <c r="E1169" s="139"/>
      <c r="F1169" s="139"/>
      <c r="G1169" s="140"/>
      <c r="H1169" s="139"/>
      <c r="I1169" s="139"/>
      <c r="J1169" s="139"/>
      <c r="K1169" s="143"/>
      <c r="N1169" s="106"/>
      <c r="O1169" s="106"/>
      <c r="P1169" s="106"/>
      <c r="Q1169" s="106"/>
      <c r="R1169" s="106"/>
      <c r="S1169" s="106"/>
    </row>
    <row r="1170" spans="1:19" s="105" customFormat="1">
      <c r="A1170" s="106"/>
      <c r="B1170" s="175" t="s">
        <v>56</v>
      </c>
      <c r="C1170" s="139"/>
      <c r="D1170" s="140"/>
      <c r="E1170" s="139">
        <f>SUM(E1171:E1171)</f>
        <v>0</v>
      </c>
      <c r="F1170" s="139"/>
      <c r="G1170" s="140"/>
      <c r="H1170" s="139">
        <f>SUM(H1171:H1172)</f>
        <v>0</v>
      </c>
      <c r="I1170" s="143"/>
      <c r="J1170" s="143"/>
      <c r="K1170" s="143"/>
      <c r="N1170" s="106"/>
      <c r="O1170" s="106"/>
      <c r="P1170" s="106"/>
      <c r="Q1170" s="106"/>
      <c r="R1170" s="106"/>
      <c r="S1170" s="106"/>
    </row>
    <row r="1171" spans="1:19" s="105" customFormat="1">
      <c r="A1171" s="106"/>
      <c r="B1171" s="175"/>
      <c r="C1171" s="139"/>
      <c r="D1171" s="140"/>
      <c r="E1171" s="139"/>
      <c r="F1171" s="139"/>
      <c r="G1171" s="140"/>
      <c r="H1171" s="139"/>
      <c r="I1171" s="139"/>
      <c r="J1171" s="139"/>
      <c r="K1171" s="143"/>
      <c r="N1171" s="106"/>
      <c r="O1171" s="106"/>
      <c r="P1171" s="106"/>
      <c r="Q1171" s="106"/>
      <c r="R1171" s="106"/>
      <c r="S1171" s="106"/>
    </row>
    <row r="1172" spans="1:19" s="105" customFormat="1">
      <c r="A1172" s="106"/>
      <c r="B1172" s="175"/>
      <c r="C1172" s="139"/>
      <c r="D1172" s="140"/>
      <c r="E1172" s="139"/>
      <c r="F1172" s="139"/>
      <c r="G1172" s="140"/>
      <c r="H1172" s="139"/>
      <c r="I1172" s="139"/>
      <c r="J1172" s="139"/>
      <c r="K1172" s="143"/>
      <c r="N1172" s="106"/>
      <c r="O1172" s="106"/>
      <c r="P1172" s="106"/>
      <c r="Q1172" s="106"/>
      <c r="R1172" s="106"/>
      <c r="S1172" s="106"/>
    </row>
    <row r="1173" spans="1:19" s="105" customFormat="1" ht="37.5">
      <c r="A1173" s="106"/>
      <c r="B1173" s="286" t="s">
        <v>160</v>
      </c>
      <c r="C1173" s="139"/>
      <c r="D1173" s="140"/>
      <c r="E1173" s="139">
        <f>+E1174</f>
        <v>7.5960999999999999</v>
      </c>
      <c r="F1173" s="139"/>
      <c r="G1173" s="140"/>
      <c r="H1173" s="139">
        <f>+H1174</f>
        <v>0</v>
      </c>
      <c r="I1173" s="141">
        <f t="shared" ref="I1173:I1236" si="47">+H1173-E1173</f>
        <v>-7.5960999999999999</v>
      </c>
      <c r="J1173" s="142"/>
      <c r="K1173" s="143"/>
      <c r="N1173" s="106"/>
      <c r="O1173" s="106"/>
      <c r="P1173" s="106"/>
      <c r="Q1173" s="106"/>
      <c r="R1173" s="106"/>
      <c r="S1173" s="106"/>
    </row>
    <row r="1174" spans="1:19" s="105" customFormat="1" ht="37.5">
      <c r="A1174" s="106"/>
      <c r="B1174" s="286" t="s">
        <v>161</v>
      </c>
      <c r="C1174" s="139"/>
      <c r="D1174" s="140"/>
      <c r="E1174" s="139">
        <f>+E1175</f>
        <v>7.5960999999999999</v>
      </c>
      <c r="F1174" s="139"/>
      <c r="G1174" s="140"/>
      <c r="H1174" s="139">
        <f>+H1175</f>
        <v>0</v>
      </c>
      <c r="I1174" s="141">
        <f t="shared" si="47"/>
        <v>-7.5960999999999999</v>
      </c>
      <c r="J1174" s="142"/>
      <c r="K1174" s="143"/>
      <c r="N1174" s="106"/>
      <c r="O1174" s="106"/>
      <c r="P1174" s="106"/>
      <c r="Q1174" s="106"/>
      <c r="R1174" s="106"/>
      <c r="S1174" s="106"/>
    </row>
    <row r="1175" spans="1:19" s="105" customFormat="1" ht="37.5">
      <c r="A1175" s="106"/>
      <c r="B1175" s="286" t="s">
        <v>162</v>
      </c>
      <c r="C1175" s="139"/>
      <c r="D1175" s="140"/>
      <c r="E1175" s="139">
        <f>+E1179+E1206+E1229+E1232</f>
        <v>7.5960999999999999</v>
      </c>
      <c r="F1175" s="139"/>
      <c r="G1175" s="140"/>
      <c r="H1175" s="139">
        <f>+H1179+H1206+H1229+H1232</f>
        <v>0</v>
      </c>
      <c r="I1175" s="141">
        <f t="shared" si="47"/>
        <v>-7.5960999999999999</v>
      </c>
      <c r="J1175" s="142"/>
      <c r="K1175" s="143"/>
      <c r="N1175" s="106"/>
      <c r="O1175" s="106"/>
      <c r="P1175" s="106"/>
      <c r="Q1175" s="106"/>
      <c r="R1175" s="106"/>
      <c r="S1175" s="106"/>
    </row>
    <row r="1176" spans="1:19" s="105" customFormat="1">
      <c r="A1176" s="106"/>
      <c r="B1176" s="335" t="s">
        <v>24</v>
      </c>
      <c r="C1176" s="139"/>
      <c r="D1176" s="140"/>
      <c r="E1176" s="139"/>
      <c r="F1176" s="139"/>
      <c r="G1176" s="140"/>
      <c r="H1176" s="139"/>
      <c r="I1176" s="141">
        <f t="shared" si="47"/>
        <v>0</v>
      </c>
      <c r="J1176" s="142"/>
      <c r="K1176" s="143"/>
      <c r="N1176" s="106"/>
      <c r="O1176" s="106"/>
      <c r="P1176" s="106"/>
      <c r="Q1176" s="106"/>
      <c r="R1176" s="106"/>
      <c r="S1176" s="106"/>
    </row>
    <row r="1177" spans="1:19" s="105" customFormat="1" ht="32.25">
      <c r="A1177" s="106"/>
      <c r="B1177" s="325" t="s">
        <v>68</v>
      </c>
      <c r="C1177" s="336" t="s">
        <v>25</v>
      </c>
      <c r="D1177" s="337"/>
      <c r="E1177" s="336" t="s">
        <v>58</v>
      </c>
      <c r="F1177" s="336"/>
      <c r="G1177" s="337" t="s">
        <v>26</v>
      </c>
      <c r="H1177" s="336"/>
      <c r="I1177" s="141"/>
      <c r="J1177" s="142"/>
      <c r="K1177" s="338"/>
      <c r="N1177" s="106"/>
      <c r="O1177" s="106"/>
      <c r="P1177" s="106"/>
      <c r="Q1177" s="106"/>
      <c r="R1177" s="106"/>
      <c r="S1177" s="106"/>
    </row>
    <row r="1178" spans="1:19" s="105" customFormat="1" ht="32.25">
      <c r="A1178" s="106"/>
      <c r="B1178" s="325"/>
      <c r="C1178" s="336" t="s">
        <v>60</v>
      </c>
      <c r="D1178" s="337"/>
      <c r="E1178" s="336" t="s">
        <v>62</v>
      </c>
      <c r="F1178" s="336"/>
      <c r="G1178" s="337" t="s">
        <v>61</v>
      </c>
      <c r="H1178" s="336"/>
      <c r="I1178" s="141"/>
      <c r="J1178" s="142"/>
      <c r="K1178" s="338"/>
      <c r="N1178" s="106"/>
      <c r="O1178" s="106"/>
      <c r="P1178" s="106"/>
      <c r="Q1178" s="106"/>
      <c r="R1178" s="106"/>
      <c r="S1178" s="106"/>
    </row>
    <row r="1179" spans="1:19" s="105" customFormat="1">
      <c r="A1179" s="106"/>
      <c r="B1179" s="175" t="s">
        <v>38</v>
      </c>
      <c r="C1179" s="139"/>
      <c r="D1179" s="140"/>
      <c r="E1179" s="139">
        <f>+E1180+E1200</f>
        <v>7.5960999999999999</v>
      </c>
      <c r="F1179" s="139"/>
      <c r="G1179" s="140"/>
      <c r="H1179" s="139">
        <f>+H1180+H1200</f>
        <v>0</v>
      </c>
      <c r="I1179" s="141">
        <f t="shared" si="47"/>
        <v>-7.5960999999999999</v>
      </c>
      <c r="J1179" s="142"/>
      <c r="K1179" s="143"/>
      <c r="N1179" s="106"/>
      <c r="O1179" s="106"/>
      <c r="P1179" s="106"/>
      <c r="Q1179" s="106"/>
      <c r="R1179" s="106"/>
      <c r="S1179" s="106"/>
    </row>
    <row r="1180" spans="1:19" s="105" customFormat="1">
      <c r="A1180" s="106"/>
      <c r="B1180" s="175" t="s">
        <v>41</v>
      </c>
      <c r="C1180" s="139"/>
      <c r="D1180" s="140"/>
      <c r="E1180" s="139">
        <f>+E1181+E1184+E1197</f>
        <v>7.5960999999999999</v>
      </c>
      <c r="F1180" s="139"/>
      <c r="G1180" s="140"/>
      <c r="H1180" s="139">
        <f>+H1181+H1184+H1197</f>
        <v>0</v>
      </c>
      <c r="I1180" s="141">
        <f t="shared" si="47"/>
        <v>-7.5960999999999999</v>
      </c>
      <c r="J1180" s="142">
        <v>0</v>
      </c>
      <c r="K1180" s="143"/>
      <c r="N1180" s="106"/>
      <c r="O1180" s="106"/>
      <c r="P1180" s="106"/>
      <c r="Q1180" s="106"/>
      <c r="R1180" s="106"/>
      <c r="S1180" s="106"/>
    </row>
    <row r="1181" spans="1:19" s="105" customFormat="1">
      <c r="A1181" s="106"/>
      <c r="B1181" s="175" t="s">
        <v>42</v>
      </c>
      <c r="C1181" s="139"/>
      <c r="D1181" s="140"/>
      <c r="E1181" s="139">
        <f>SUM(E1182:E1182)</f>
        <v>0.9</v>
      </c>
      <c r="F1181" s="139"/>
      <c r="G1181" s="140"/>
      <c r="H1181" s="139">
        <f>SUM(H1182:H1182)</f>
        <v>0</v>
      </c>
      <c r="I1181" s="141">
        <f t="shared" si="47"/>
        <v>-0.9</v>
      </c>
      <c r="J1181" s="142">
        <v>0</v>
      </c>
      <c r="K1181" s="143"/>
      <c r="N1181" s="106"/>
      <c r="O1181" s="106"/>
      <c r="P1181" s="106"/>
      <c r="Q1181" s="106"/>
      <c r="R1181" s="106"/>
      <c r="S1181" s="106"/>
    </row>
    <row r="1182" spans="1:19" s="105" customFormat="1">
      <c r="A1182" s="106"/>
      <c r="B1182" s="194" t="s">
        <v>112</v>
      </c>
      <c r="C1182" s="139"/>
      <c r="D1182" s="140"/>
      <c r="E1182" s="139">
        <v>0.9</v>
      </c>
      <c r="F1182" s="139"/>
      <c r="G1182" s="140"/>
      <c r="H1182" s="139"/>
      <c r="I1182" s="141">
        <f t="shared" si="47"/>
        <v>-0.9</v>
      </c>
      <c r="J1182" s="142">
        <v>0</v>
      </c>
      <c r="K1182" s="143"/>
      <c r="N1182" s="106"/>
      <c r="O1182" s="106"/>
      <c r="P1182" s="106"/>
      <c r="Q1182" s="106"/>
      <c r="R1182" s="106"/>
      <c r="S1182" s="106"/>
    </row>
    <row r="1183" spans="1:19" s="105" customFormat="1">
      <c r="A1183" s="106"/>
      <c r="B1183" s="194"/>
      <c r="C1183" s="139"/>
      <c r="D1183" s="140"/>
      <c r="E1183" s="139"/>
      <c r="F1183" s="139"/>
      <c r="G1183" s="140"/>
      <c r="H1183" s="139"/>
      <c r="I1183" s="141"/>
      <c r="J1183" s="142"/>
      <c r="K1183" s="143"/>
      <c r="N1183" s="106"/>
      <c r="O1183" s="106"/>
      <c r="P1183" s="106"/>
      <c r="Q1183" s="106"/>
      <c r="R1183" s="106"/>
      <c r="S1183" s="106"/>
    </row>
    <row r="1184" spans="1:19" s="105" customFormat="1">
      <c r="A1184" s="106"/>
      <c r="B1184" s="175" t="s">
        <v>43</v>
      </c>
      <c r="C1184" s="139"/>
      <c r="D1184" s="140"/>
      <c r="E1184" s="139">
        <f>SUM(E1186:E1190)</f>
        <v>6.5020999999999995</v>
      </c>
      <c r="F1184" s="139"/>
      <c r="G1184" s="140"/>
      <c r="H1184" s="139">
        <f>SUM(H1186:H1190)</f>
        <v>0</v>
      </c>
      <c r="I1184" s="141">
        <f t="shared" si="47"/>
        <v>-6.5020999999999995</v>
      </c>
      <c r="J1184" s="142"/>
      <c r="K1184" s="143"/>
      <c r="N1184" s="106"/>
      <c r="O1184" s="106"/>
      <c r="P1184" s="106"/>
      <c r="Q1184" s="106"/>
      <c r="R1184" s="106"/>
      <c r="S1184" s="106"/>
    </row>
    <row r="1185" spans="1:19" s="105" customFormat="1">
      <c r="A1185" s="106"/>
      <c r="B1185" s="175" t="s">
        <v>19</v>
      </c>
      <c r="C1185" s="139"/>
      <c r="D1185" s="140"/>
      <c r="E1185" s="139"/>
      <c r="F1185" s="139"/>
      <c r="G1185" s="140"/>
      <c r="H1185" s="139"/>
      <c r="I1185" s="141">
        <f t="shared" si="47"/>
        <v>0</v>
      </c>
      <c r="J1185" s="142"/>
      <c r="K1185" s="143"/>
      <c r="N1185" s="106"/>
      <c r="O1185" s="106"/>
      <c r="P1185" s="106"/>
      <c r="Q1185" s="106"/>
      <c r="R1185" s="106"/>
      <c r="S1185" s="106"/>
    </row>
    <row r="1186" spans="1:19" s="105" customFormat="1">
      <c r="A1186" s="106"/>
      <c r="B1186" s="194" t="s">
        <v>85</v>
      </c>
      <c r="C1186" s="139"/>
      <c r="D1186" s="140"/>
      <c r="E1186" s="139">
        <v>0.56240000000000001</v>
      </c>
      <c r="F1186" s="139"/>
      <c r="G1186" s="140"/>
      <c r="H1186" s="139"/>
      <c r="I1186" s="141">
        <f t="shared" si="47"/>
        <v>-0.56240000000000001</v>
      </c>
      <c r="J1186" s="142"/>
      <c r="K1186" s="143"/>
      <c r="N1186" s="106"/>
      <c r="O1186" s="106"/>
      <c r="P1186" s="106"/>
      <c r="Q1186" s="106"/>
      <c r="R1186" s="106"/>
      <c r="S1186" s="106"/>
    </row>
    <row r="1187" spans="1:19" s="105" customFormat="1">
      <c r="A1187" s="106"/>
      <c r="B1187" s="194" t="s">
        <v>86</v>
      </c>
      <c r="C1187" s="139"/>
      <c r="D1187" s="140"/>
      <c r="E1187" s="139">
        <v>1</v>
      </c>
      <c r="F1187" s="139"/>
      <c r="G1187" s="140"/>
      <c r="H1187" s="139"/>
      <c r="I1187" s="141">
        <f t="shared" si="47"/>
        <v>-1</v>
      </c>
      <c r="J1187" s="142"/>
      <c r="K1187" s="143"/>
      <c r="N1187" s="106"/>
      <c r="O1187" s="106"/>
      <c r="P1187" s="106"/>
      <c r="Q1187" s="106"/>
      <c r="R1187" s="106"/>
      <c r="S1187" s="106"/>
    </row>
    <row r="1188" spans="1:19" s="105" customFormat="1">
      <c r="A1188" s="106"/>
      <c r="B1188" s="194" t="s">
        <v>157</v>
      </c>
      <c r="C1188" s="139"/>
      <c r="D1188" s="140"/>
      <c r="E1188" s="139">
        <v>1.972</v>
      </c>
      <c r="F1188" s="139"/>
      <c r="G1188" s="140"/>
      <c r="H1188" s="139"/>
      <c r="I1188" s="141">
        <f t="shared" si="47"/>
        <v>-1.972</v>
      </c>
      <c r="J1188" s="142"/>
      <c r="K1188" s="143"/>
      <c r="N1188" s="106"/>
      <c r="O1188" s="106"/>
      <c r="P1188" s="106"/>
      <c r="Q1188" s="106"/>
      <c r="R1188" s="106"/>
      <c r="S1188" s="106"/>
    </row>
    <row r="1189" spans="1:19" s="105" customFormat="1" ht="37.5">
      <c r="A1189" s="106"/>
      <c r="B1189" s="194" t="s">
        <v>163</v>
      </c>
      <c r="C1189" s="139"/>
      <c r="D1189" s="140"/>
      <c r="E1189" s="139">
        <v>2.9676999999999998</v>
      </c>
      <c r="F1189" s="139"/>
      <c r="G1189" s="140"/>
      <c r="H1189" s="139"/>
      <c r="I1189" s="141">
        <f t="shared" si="47"/>
        <v>-2.9676999999999998</v>
      </c>
      <c r="J1189" s="142"/>
      <c r="K1189" s="143"/>
      <c r="N1189" s="106"/>
      <c r="O1189" s="106"/>
      <c r="P1189" s="106"/>
      <c r="Q1189" s="106"/>
      <c r="R1189" s="106"/>
      <c r="S1189" s="106"/>
    </row>
    <row r="1190" spans="1:19" s="105" customFormat="1" ht="40.5">
      <c r="A1190" s="106"/>
      <c r="B1190" s="175" t="s">
        <v>69</v>
      </c>
      <c r="C1190" s="139"/>
      <c r="D1190" s="140"/>
      <c r="E1190" s="139"/>
      <c r="F1190" s="139"/>
      <c r="G1190" s="140"/>
      <c r="H1190" s="139"/>
      <c r="I1190" s="141">
        <f t="shared" si="47"/>
        <v>0</v>
      </c>
      <c r="J1190" s="142"/>
      <c r="K1190" s="143"/>
      <c r="N1190" s="106"/>
      <c r="O1190" s="106"/>
      <c r="P1190" s="106"/>
      <c r="Q1190" s="106"/>
      <c r="R1190" s="106"/>
      <c r="S1190" s="106"/>
    </row>
    <row r="1191" spans="1:19" s="105" customFormat="1">
      <c r="A1191" s="106"/>
      <c r="B1191" s="194" t="s">
        <v>2</v>
      </c>
      <c r="C1191" s="139"/>
      <c r="D1191" s="140"/>
      <c r="E1191" s="139"/>
      <c r="F1191" s="139"/>
      <c r="G1191" s="140"/>
      <c r="H1191" s="139"/>
      <c r="I1191" s="141">
        <f>+H1191-E1191</f>
        <v>0</v>
      </c>
      <c r="J1191" s="142"/>
      <c r="K1191" s="143"/>
      <c r="N1191" s="106"/>
      <c r="O1191" s="106"/>
      <c r="P1191" s="106"/>
      <c r="Q1191" s="106"/>
      <c r="R1191" s="106"/>
      <c r="S1191" s="106"/>
    </row>
    <row r="1192" spans="1:19" s="105" customFormat="1">
      <c r="A1192" s="106"/>
      <c r="B1192" s="194" t="s">
        <v>3</v>
      </c>
      <c r="C1192" s="139"/>
      <c r="D1192" s="140"/>
      <c r="E1192" s="139"/>
      <c r="F1192" s="139"/>
      <c r="G1192" s="140"/>
      <c r="H1192" s="139"/>
      <c r="I1192" s="141">
        <f t="shared" si="47"/>
        <v>0</v>
      </c>
      <c r="J1192" s="142"/>
      <c r="K1192" s="143"/>
      <c r="N1192" s="106"/>
      <c r="O1192" s="106"/>
      <c r="P1192" s="106"/>
      <c r="Q1192" s="106"/>
      <c r="R1192" s="106"/>
      <c r="S1192" s="106"/>
    </row>
    <row r="1193" spans="1:19" s="105" customFormat="1">
      <c r="A1193" s="106"/>
      <c r="B1193" s="175" t="s">
        <v>22</v>
      </c>
      <c r="C1193" s="139"/>
      <c r="D1193" s="140"/>
      <c r="E1193" s="139"/>
      <c r="F1193" s="139"/>
      <c r="G1193" s="140"/>
      <c r="H1193" s="139"/>
      <c r="I1193" s="141">
        <f t="shared" si="47"/>
        <v>0</v>
      </c>
      <c r="J1193" s="142"/>
      <c r="K1193" s="143"/>
      <c r="N1193" s="106"/>
      <c r="O1193" s="106"/>
      <c r="P1193" s="106"/>
      <c r="Q1193" s="106"/>
      <c r="R1193" s="106"/>
      <c r="S1193" s="106"/>
    </row>
    <row r="1194" spans="1:19" s="105" customFormat="1">
      <c r="A1194" s="106"/>
      <c r="B1194" s="194" t="s">
        <v>21</v>
      </c>
      <c r="C1194" s="139"/>
      <c r="D1194" s="140"/>
      <c r="E1194" s="139"/>
      <c r="F1194" s="139"/>
      <c r="G1194" s="140"/>
      <c r="H1194" s="139"/>
      <c r="I1194" s="141">
        <f t="shared" si="47"/>
        <v>0</v>
      </c>
      <c r="J1194" s="142"/>
      <c r="K1194" s="143"/>
      <c r="N1194" s="106"/>
      <c r="O1194" s="106"/>
      <c r="P1194" s="106"/>
      <c r="Q1194" s="106"/>
      <c r="R1194" s="106"/>
      <c r="S1194" s="106"/>
    </row>
    <row r="1195" spans="1:19" s="105" customFormat="1">
      <c r="A1195" s="106"/>
      <c r="B1195" s="175" t="s">
        <v>20</v>
      </c>
      <c r="C1195" s="139"/>
      <c r="D1195" s="140"/>
      <c r="E1195" s="139"/>
      <c r="F1195" s="139"/>
      <c r="G1195" s="140"/>
      <c r="H1195" s="139"/>
      <c r="I1195" s="141">
        <f t="shared" si="47"/>
        <v>0</v>
      </c>
      <c r="J1195" s="142"/>
      <c r="K1195" s="143"/>
      <c r="N1195" s="106"/>
      <c r="O1195" s="106"/>
      <c r="P1195" s="106"/>
      <c r="Q1195" s="106"/>
      <c r="R1195" s="106"/>
      <c r="S1195" s="106"/>
    </row>
    <row r="1196" spans="1:19" s="105" customFormat="1">
      <c r="A1196" s="106"/>
      <c r="B1196" s="194" t="s">
        <v>17</v>
      </c>
      <c r="C1196" s="139"/>
      <c r="D1196" s="140"/>
      <c r="E1196" s="139"/>
      <c r="F1196" s="139"/>
      <c r="G1196" s="140"/>
      <c r="H1196" s="139"/>
      <c r="I1196" s="141">
        <f t="shared" si="47"/>
        <v>0</v>
      </c>
      <c r="J1196" s="142"/>
      <c r="K1196" s="143"/>
      <c r="N1196" s="106"/>
      <c r="O1196" s="106"/>
      <c r="P1196" s="106"/>
      <c r="Q1196" s="106"/>
      <c r="R1196" s="106"/>
      <c r="S1196" s="106"/>
    </row>
    <row r="1197" spans="1:19" s="105" customFormat="1">
      <c r="A1197" s="106"/>
      <c r="B1197" s="175" t="s">
        <v>44</v>
      </c>
      <c r="C1197" s="139"/>
      <c r="D1197" s="140"/>
      <c r="E1197" s="139">
        <f>SUM(E1198:E1199)</f>
        <v>0.19400000000000001</v>
      </c>
      <c r="F1197" s="139"/>
      <c r="G1197" s="140"/>
      <c r="H1197" s="139">
        <f>SUM(H1198:H1199)</f>
        <v>0</v>
      </c>
      <c r="I1197" s="141">
        <f t="shared" si="47"/>
        <v>-0.19400000000000001</v>
      </c>
      <c r="J1197" s="142"/>
      <c r="K1197" s="143"/>
      <c r="N1197" s="106"/>
      <c r="O1197" s="106"/>
      <c r="P1197" s="106"/>
      <c r="Q1197" s="106"/>
      <c r="R1197" s="106"/>
      <c r="S1197" s="106"/>
    </row>
    <row r="1198" spans="1:19" s="105" customFormat="1">
      <c r="A1198" s="106"/>
      <c r="B1198" s="194" t="s">
        <v>90</v>
      </c>
      <c r="C1198" s="139"/>
      <c r="D1198" s="140"/>
      <c r="E1198" s="139">
        <v>0.06</v>
      </c>
      <c r="F1198" s="139"/>
      <c r="G1198" s="140"/>
      <c r="H1198" s="139"/>
      <c r="I1198" s="141">
        <f t="shared" si="47"/>
        <v>-0.06</v>
      </c>
      <c r="J1198" s="142"/>
      <c r="K1198" s="143"/>
      <c r="N1198" s="106"/>
      <c r="O1198" s="106"/>
      <c r="P1198" s="106"/>
      <c r="Q1198" s="106"/>
      <c r="R1198" s="106"/>
      <c r="S1198" s="106"/>
    </row>
    <row r="1199" spans="1:19" s="105" customFormat="1">
      <c r="A1199" s="106"/>
      <c r="B1199" s="194" t="s">
        <v>91</v>
      </c>
      <c r="C1199" s="139"/>
      <c r="D1199" s="140"/>
      <c r="E1199" s="139">
        <v>0.13400000000000001</v>
      </c>
      <c r="F1199" s="139"/>
      <c r="G1199" s="140"/>
      <c r="H1199" s="139"/>
      <c r="I1199" s="141">
        <f t="shared" si="47"/>
        <v>-0.13400000000000001</v>
      </c>
      <c r="J1199" s="142"/>
      <c r="K1199" s="143"/>
      <c r="N1199" s="106"/>
      <c r="O1199" s="106"/>
      <c r="P1199" s="106"/>
      <c r="Q1199" s="106"/>
      <c r="R1199" s="106"/>
      <c r="S1199" s="106"/>
    </row>
    <row r="1200" spans="1:19" s="105" customFormat="1">
      <c r="A1200" s="106"/>
      <c r="B1200" s="175" t="s">
        <v>45</v>
      </c>
      <c r="C1200" s="139"/>
      <c r="D1200" s="140"/>
      <c r="E1200" s="139">
        <f>SUM(E1201:E1205)</f>
        <v>0</v>
      </c>
      <c r="F1200" s="139"/>
      <c r="G1200" s="140"/>
      <c r="H1200" s="139">
        <f>SUM(H1201:H1205)</f>
        <v>0</v>
      </c>
      <c r="I1200" s="141">
        <f t="shared" si="47"/>
        <v>0</v>
      </c>
      <c r="J1200" s="142"/>
      <c r="K1200" s="143"/>
      <c r="N1200" s="106"/>
      <c r="O1200" s="106"/>
      <c r="P1200" s="106"/>
      <c r="Q1200" s="106"/>
      <c r="R1200" s="106"/>
      <c r="S1200" s="106"/>
    </row>
    <row r="1201" spans="1:19" s="105" customFormat="1">
      <c r="A1201" s="106"/>
      <c r="B1201" s="194" t="s">
        <v>106</v>
      </c>
      <c r="C1201" s="139"/>
      <c r="D1201" s="140"/>
      <c r="E1201" s="139"/>
      <c r="F1201" s="139"/>
      <c r="G1201" s="140"/>
      <c r="H1201" s="139"/>
      <c r="I1201" s="141">
        <f t="shared" si="47"/>
        <v>0</v>
      </c>
      <c r="J1201" s="142"/>
      <c r="K1201" s="143"/>
      <c r="N1201" s="106"/>
      <c r="O1201" s="106"/>
      <c r="P1201" s="106"/>
      <c r="Q1201" s="106"/>
      <c r="R1201" s="106"/>
      <c r="S1201" s="106"/>
    </row>
    <row r="1202" spans="1:19" s="105" customFormat="1">
      <c r="A1202" s="106"/>
      <c r="B1202" s="194" t="s">
        <v>107</v>
      </c>
      <c r="C1202" s="139"/>
      <c r="D1202" s="140"/>
      <c r="E1202" s="139"/>
      <c r="F1202" s="139"/>
      <c r="G1202" s="140"/>
      <c r="H1202" s="139"/>
      <c r="I1202" s="141">
        <f t="shared" si="47"/>
        <v>0</v>
      </c>
      <c r="J1202" s="142"/>
      <c r="K1202" s="143"/>
      <c r="N1202" s="106"/>
      <c r="O1202" s="106"/>
      <c r="P1202" s="106"/>
      <c r="Q1202" s="106"/>
      <c r="R1202" s="106"/>
      <c r="S1202" s="106"/>
    </row>
    <row r="1203" spans="1:19" s="105" customFormat="1">
      <c r="A1203" s="106"/>
      <c r="B1203" s="194" t="s">
        <v>108</v>
      </c>
      <c r="C1203" s="139"/>
      <c r="D1203" s="140"/>
      <c r="E1203" s="139"/>
      <c r="F1203" s="139"/>
      <c r="G1203" s="140"/>
      <c r="H1203" s="139"/>
      <c r="I1203" s="141">
        <f t="shared" si="47"/>
        <v>0</v>
      </c>
      <c r="J1203" s="142"/>
      <c r="K1203" s="143"/>
      <c r="N1203" s="106"/>
      <c r="O1203" s="106"/>
      <c r="P1203" s="106"/>
      <c r="Q1203" s="106"/>
      <c r="R1203" s="106"/>
      <c r="S1203" s="106"/>
    </row>
    <row r="1204" spans="1:19" s="105" customFormat="1">
      <c r="A1204" s="106"/>
      <c r="B1204" s="194" t="s">
        <v>109</v>
      </c>
      <c r="C1204" s="139"/>
      <c r="D1204" s="140"/>
      <c r="E1204" s="139"/>
      <c r="F1204" s="139"/>
      <c r="G1204" s="140"/>
      <c r="H1204" s="139"/>
      <c r="I1204" s="141">
        <f t="shared" si="47"/>
        <v>0</v>
      </c>
      <c r="J1204" s="142"/>
      <c r="K1204" s="143"/>
      <c r="N1204" s="106"/>
      <c r="O1204" s="106"/>
      <c r="P1204" s="106"/>
      <c r="Q1204" s="106"/>
      <c r="R1204" s="106"/>
      <c r="S1204" s="106"/>
    </row>
    <row r="1205" spans="1:19" s="105" customFormat="1">
      <c r="A1205" s="106"/>
      <c r="B1205" s="194" t="s">
        <v>111</v>
      </c>
      <c r="C1205" s="139"/>
      <c r="D1205" s="140"/>
      <c r="E1205" s="139"/>
      <c r="F1205" s="139"/>
      <c r="G1205" s="140"/>
      <c r="H1205" s="139"/>
      <c r="I1205" s="141">
        <f t="shared" si="47"/>
        <v>0</v>
      </c>
      <c r="J1205" s="142"/>
      <c r="K1205" s="143"/>
      <c r="N1205" s="106"/>
      <c r="O1205" s="106"/>
      <c r="P1205" s="106"/>
      <c r="Q1205" s="106"/>
      <c r="R1205" s="106"/>
      <c r="S1205" s="106"/>
    </row>
    <row r="1206" spans="1:19" s="105" customFormat="1">
      <c r="A1206" s="106"/>
      <c r="B1206" s="175" t="s">
        <v>46</v>
      </c>
      <c r="C1206" s="139"/>
      <c r="D1206" s="140"/>
      <c r="E1206" s="139">
        <f>+E1207+E1218</f>
        <v>0</v>
      </c>
      <c r="F1206" s="139"/>
      <c r="G1206" s="140"/>
      <c r="H1206" s="139">
        <f>+H1207+H1218</f>
        <v>0</v>
      </c>
      <c r="I1206" s="143"/>
      <c r="J1206" s="143"/>
      <c r="K1206" s="143"/>
      <c r="N1206" s="106"/>
      <c r="O1206" s="106"/>
      <c r="P1206" s="106"/>
      <c r="Q1206" s="106"/>
      <c r="R1206" s="106"/>
      <c r="S1206" s="106"/>
    </row>
    <row r="1207" spans="1:19" s="105" customFormat="1">
      <c r="A1207" s="106"/>
      <c r="B1207" s="175" t="s">
        <v>47</v>
      </c>
      <c r="C1207" s="139"/>
      <c r="D1207" s="140"/>
      <c r="E1207" s="139">
        <f>+E1209</f>
        <v>0</v>
      </c>
      <c r="F1207" s="139"/>
      <c r="G1207" s="140"/>
      <c r="H1207" s="139">
        <f>+H1209</f>
        <v>0</v>
      </c>
      <c r="I1207" s="143"/>
      <c r="J1207" s="143"/>
      <c r="K1207" s="143"/>
      <c r="N1207" s="106"/>
      <c r="O1207" s="106"/>
      <c r="P1207" s="106"/>
      <c r="Q1207" s="106"/>
      <c r="R1207" s="106"/>
      <c r="S1207" s="106"/>
    </row>
    <row r="1208" spans="1:19" s="105" customFormat="1">
      <c r="A1208" s="106"/>
      <c r="B1208" s="175" t="s">
        <v>19</v>
      </c>
      <c r="C1208" s="139"/>
      <c r="D1208" s="140"/>
      <c r="E1208" s="139"/>
      <c r="F1208" s="139"/>
      <c r="G1208" s="140"/>
      <c r="H1208" s="139"/>
      <c r="I1208" s="143"/>
      <c r="J1208" s="143"/>
      <c r="K1208" s="143"/>
      <c r="N1208" s="106"/>
      <c r="O1208" s="106"/>
      <c r="P1208" s="106"/>
      <c r="Q1208" s="106"/>
      <c r="R1208" s="106"/>
      <c r="S1208" s="106"/>
    </row>
    <row r="1209" spans="1:19" s="105" customFormat="1">
      <c r="A1209" s="106"/>
      <c r="B1209" s="175" t="s">
        <v>110</v>
      </c>
      <c r="C1209" s="139"/>
      <c r="D1209" s="140"/>
      <c r="E1209" s="139"/>
      <c r="F1209" s="139"/>
      <c r="G1209" s="140"/>
      <c r="H1209" s="139"/>
      <c r="I1209" s="143"/>
      <c r="J1209" s="143"/>
      <c r="K1209" s="143"/>
      <c r="N1209" s="106"/>
      <c r="O1209" s="106"/>
      <c r="P1209" s="106"/>
      <c r="Q1209" s="106"/>
      <c r="R1209" s="106"/>
      <c r="S1209" s="106"/>
    </row>
    <row r="1210" spans="1:19" s="105" customFormat="1">
      <c r="A1210" s="106"/>
      <c r="B1210" s="194" t="s">
        <v>17</v>
      </c>
      <c r="C1210" s="139"/>
      <c r="D1210" s="140"/>
      <c r="E1210" s="139"/>
      <c r="F1210" s="139"/>
      <c r="G1210" s="140"/>
      <c r="H1210" s="139"/>
      <c r="I1210" s="139"/>
      <c r="J1210" s="139"/>
      <c r="K1210" s="143"/>
      <c r="N1210" s="106"/>
      <c r="O1210" s="106"/>
      <c r="P1210" s="106"/>
      <c r="Q1210" s="106"/>
      <c r="R1210" s="106"/>
      <c r="S1210" s="106"/>
    </row>
    <row r="1211" spans="1:19" s="105" customFormat="1">
      <c r="A1211" s="106"/>
      <c r="B1211" s="194" t="s">
        <v>18</v>
      </c>
      <c r="C1211" s="139"/>
      <c r="D1211" s="140"/>
      <c r="E1211" s="139"/>
      <c r="F1211" s="139"/>
      <c r="G1211" s="140"/>
      <c r="H1211" s="139"/>
      <c r="I1211" s="139"/>
      <c r="J1211" s="139"/>
      <c r="K1211" s="143"/>
      <c r="N1211" s="106"/>
      <c r="O1211" s="106"/>
      <c r="P1211" s="106"/>
      <c r="Q1211" s="106"/>
      <c r="R1211" s="106"/>
      <c r="S1211" s="106"/>
    </row>
    <row r="1212" spans="1:19" s="105" customFormat="1">
      <c r="A1212" s="106"/>
      <c r="B1212" s="175" t="s">
        <v>22</v>
      </c>
      <c r="C1212" s="139"/>
      <c r="D1212" s="140"/>
      <c r="E1212" s="139"/>
      <c r="F1212" s="139"/>
      <c r="G1212" s="140"/>
      <c r="H1212" s="139"/>
      <c r="I1212" s="139"/>
      <c r="J1212" s="139"/>
      <c r="K1212" s="143"/>
      <c r="N1212" s="106"/>
      <c r="O1212" s="106"/>
      <c r="P1212" s="106"/>
      <c r="Q1212" s="106"/>
      <c r="R1212" s="106"/>
      <c r="S1212" s="106"/>
    </row>
    <row r="1213" spans="1:19" s="105" customFormat="1">
      <c r="A1213" s="106"/>
      <c r="B1213" s="175" t="s">
        <v>48</v>
      </c>
      <c r="C1213" s="139"/>
      <c r="D1213" s="140"/>
      <c r="E1213" s="139"/>
      <c r="F1213" s="139"/>
      <c r="G1213" s="140"/>
      <c r="H1213" s="139"/>
      <c r="I1213" s="139"/>
      <c r="J1213" s="139"/>
      <c r="K1213" s="143"/>
      <c r="N1213" s="106"/>
      <c r="O1213" s="106"/>
      <c r="P1213" s="106"/>
      <c r="Q1213" s="106"/>
      <c r="R1213" s="106"/>
      <c r="S1213" s="106"/>
    </row>
    <row r="1214" spans="1:19" s="105" customFormat="1">
      <c r="A1214" s="106"/>
      <c r="B1214" s="194" t="s">
        <v>23</v>
      </c>
      <c r="C1214" s="139"/>
      <c r="D1214" s="140"/>
      <c r="E1214" s="139"/>
      <c r="F1214" s="139"/>
      <c r="G1214" s="140"/>
      <c r="H1214" s="139"/>
      <c r="I1214" s="139"/>
      <c r="J1214" s="139"/>
      <c r="K1214" s="143"/>
      <c r="N1214" s="106"/>
      <c r="O1214" s="106"/>
      <c r="P1214" s="106"/>
      <c r="Q1214" s="106"/>
      <c r="R1214" s="106"/>
      <c r="S1214" s="106"/>
    </row>
    <row r="1215" spans="1:19" s="105" customFormat="1">
      <c r="A1215" s="106"/>
      <c r="B1215" s="175" t="s">
        <v>20</v>
      </c>
      <c r="C1215" s="139"/>
      <c r="D1215" s="140"/>
      <c r="E1215" s="139"/>
      <c r="F1215" s="139"/>
      <c r="G1215" s="140"/>
      <c r="H1215" s="139"/>
      <c r="I1215" s="139"/>
      <c r="J1215" s="139"/>
      <c r="K1215" s="143"/>
      <c r="N1215" s="106"/>
      <c r="O1215" s="106"/>
      <c r="P1215" s="106"/>
      <c r="Q1215" s="106"/>
      <c r="R1215" s="106"/>
      <c r="S1215" s="106"/>
    </row>
    <row r="1216" spans="1:19" s="105" customFormat="1">
      <c r="A1216" s="106"/>
      <c r="B1216" s="175" t="s">
        <v>48</v>
      </c>
      <c r="C1216" s="139"/>
      <c r="D1216" s="140"/>
      <c r="E1216" s="139"/>
      <c r="F1216" s="139"/>
      <c r="G1216" s="140"/>
      <c r="H1216" s="139"/>
      <c r="I1216" s="139"/>
      <c r="J1216" s="139"/>
      <c r="K1216" s="143"/>
      <c r="N1216" s="106"/>
      <c r="O1216" s="106"/>
      <c r="P1216" s="106"/>
      <c r="Q1216" s="106"/>
      <c r="R1216" s="106"/>
      <c r="S1216" s="106"/>
    </row>
    <row r="1217" spans="1:19" s="105" customFormat="1">
      <c r="A1217" s="106"/>
      <c r="B1217" s="194" t="s">
        <v>23</v>
      </c>
      <c r="C1217" s="139"/>
      <c r="D1217" s="140"/>
      <c r="E1217" s="139"/>
      <c r="F1217" s="139"/>
      <c r="G1217" s="140"/>
      <c r="H1217" s="139"/>
      <c r="I1217" s="139"/>
      <c r="J1217" s="139"/>
      <c r="K1217" s="143"/>
      <c r="N1217" s="106"/>
      <c r="O1217" s="106"/>
      <c r="P1217" s="106"/>
      <c r="Q1217" s="106"/>
      <c r="R1217" s="106"/>
      <c r="S1217" s="106"/>
    </row>
    <row r="1218" spans="1:19" s="105" customFormat="1">
      <c r="A1218" s="106"/>
      <c r="B1218" s="175" t="s">
        <v>49</v>
      </c>
      <c r="C1218" s="139"/>
      <c r="D1218" s="140"/>
      <c r="E1218" s="139">
        <f>+E1220</f>
        <v>0</v>
      </c>
      <c r="F1218" s="139"/>
      <c r="G1218" s="140"/>
      <c r="H1218" s="139">
        <f>+H1220</f>
        <v>0</v>
      </c>
      <c r="I1218" s="143"/>
      <c r="J1218" s="143"/>
      <c r="K1218" s="143"/>
      <c r="N1218" s="106"/>
      <c r="O1218" s="106"/>
      <c r="P1218" s="106"/>
      <c r="Q1218" s="106"/>
      <c r="R1218" s="106"/>
      <c r="S1218" s="106"/>
    </row>
    <row r="1219" spans="1:19" s="105" customFormat="1">
      <c r="A1219" s="106"/>
      <c r="B1219" s="175" t="s">
        <v>19</v>
      </c>
      <c r="C1219" s="139"/>
      <c r="D1219" s="140"/>
      <c r="E1219" s="139"/>
      <c r="F1219" s="139"/>
      <c r="G1219" s="140"/>
      <c r="H1219" s="139"/>
      <c r="I1219" s="143"/>
      <c r="J1219" s="143"/>
      <c r="K1219" s="143"/>
      <c r="N1219" s="106"/>
      <c r="O1219" s="106"/>
      <c r="P1219" s="106"/>
      <c r="Q1219" s="106"/>
      <c r="R1219" s="106"/>
      <c r="S1219" s="106"/>
    </row>
    <row r="1220" spans="1:19" s="105" customFormat="1">
      <c r="A1220" s="106"/>
      <c r="B1220" s="175" t="s">
        <v>50</v>
      </c>
      <c r="C1220" s="139"/>
      <c r="D1220" s="140"/>
      <c r="E1220" s="139"/>
      <c r="F1220" s="139"/>
      <c r="G1220" s="140"/>
      <c r="H1220" s="139"/>
      <c r="I1220" s="143"/>
      <c r="J1220" s="143"/>
      <c r="K1220" s="143"/>
      <c r="N1220" s="106"/>
      <c r="O1220" s="106"/>
      <c r="P1220" s="106"/>
      <c r="Q1220" s="106"/>
      <c r="R1220" s="106"/>
      <c r="S1220" s="106"/>
    </row>
    <row r="1221" spans="1:19" s="105" customFormat="1" ht="27.75" customHeight="1">
      <c r="A1221" s="106"/>
      <c r="B1221" s="194" t="s">
        <v>17</v>
      </c>
      <c r="C1221" s="139"/>
      <c r="D1221" s="140"/>
      <c r="E1221" s="139"/>
      <c r="F1221" s="139"/>
      <c r="G1221" s="140"/>
      <c r="H1221" s="139"/>
      <c r="I1221" s="139"/>
      <c r="J1221" s="139"/>
      <c r="K1221" s="143"/>
      <c r="N1221" s="106"/>
      <c r="O1221" s="106"/>
      <c r="P1221" s="106"/>
      <c r="Q1221" s="106"/>
      <c r="R1221" s="106"/>
      <c r="S1221" s="106"/>
    </row>
    <row r="1222" spans="1:19" s="105" customFormat="1" ht="27.75" customHeight="1">
      <c r="A1222" s="106"/>
      <c r="B1222" s="194" t="s">
        <v>18</v>
      </c>
      <c r="C1222" s="139"/>
      <c r="D1222" s="140"/>
      <c r="E1222" s="139"/>
      <c r="F1222" s="139"/>
      <c r="G1222" s="140"/>
      <c r="H1222" s="139"/>
      <c r="I1222" s="139"/>
      <c r="J1222" s="139"/>
      <c r="K1222" s="143"/>
      <c r="N1222" s="106"/>
      <c r="O1222" s="106"/>
      <c r="P1222" s="106"/>
      <c r="Q1222" s="106"/>
      <c r="R1222" s="106"/>
      <c r="S1222" s="106"/>
    </row>
    <row r="1223" spans="1:19" s="105" customFormat="1">
      <c r="A1223" s="106"/>
      <c r="B1223" s="175" t="s">
        <v>22</v>
      </c>
      <c r="C1223" s="139"/>
      <c r="D1223" s="140"/>
      <c r="E1223" s="139"/>
      <c r="F1223" s="139"/>
      <c r="G1223" s="140"/>
      <c r="H1223" s="139"/>
      <c r="I1223" s="139"/>
      <c r="J1223" s="139"/>
      <c r="K1223" s="143"/>
      <c r="N1223" s="106"/>
      <c r="O1223" s="106"/>
      <c r="P1223" s="106"/>
      <c r="Q1223" s="106"/>
      <c r="R1223" s="106"/>
      <c r="S1223" s="106"/>
    </row>
    <row r="1224" spans="1:19" s="105" customFormat="1">
      <c r="A1224" s="106"/>
      <c r="B1224" s="175" t="s">
        <v>51</v>
      </c>
      <c r="C1224" s="139"/>
      <c r="D1224" s="140"/>
      <c r="E1224" s="139"/>
      <c r="F1224" s="139"/>
      <c r="G1224" s="140"/>
      <c r="H1224" s="139"/>
      <c r="I1224" s="139"/>
      <c r="J1224" s="139"/>
      <c r="K1224" s="143"/>
      <c r="N1224" s="106"/>
      <c r="O1224" s="106"/>
      <c r="P1224" s="106"/>
      <c r="Q1224" s="106"/>
      <c r="R1224" s="106"/>
      <c r="S1224" s="106"/>
    </row>
    <row r="1225" spans="1:19" s="105" customFormat="1">
      <c r="A1225" s="106"/>
      <c r="B1225" s="194" t="s">
        <v>23</v>
      </c>
      <c r="C1225" s="139"/>
      <c r="D1225" s="140"/>
      <c r="E1225" s="139"/>
      <c r="F1225" s="139"/>
      <c r="G1225" s="140"/>
      <c r="H1225" s="139"/>
      <c r="I1225" s="139"/>
      <c r="J1225" s="139"/>
      <c r="K1225" s="143"/>
      <c r="N1225" s="106"/>
      <c r="O1225" s="106"/>
      <c r="P1225" s="106"/>
      <c r="Q1225" s="106"/>
      <c r="R1225" s="106"/>
      <c r="S1225" s="106"/>
    </row>
    <row r="1226" spans="1:19" s="105" customFormat="1">
      <c r="A1226" s="106"/>
      <c r="B1226" s="175" t="s">
        <v>20</v>
      </c>
      <c r="C1226" s="139"/>
      <c r="D1226" s="140"/>
      <c r="E1226" s="139"/>
      <c r="F1226" s="139"/>
      <c r="G1226" s="140"/>
      <c r="H1226" s="139"/>
      <c r="I1226" s="139"/>
      <c r="J1226" s="139"/>
      <c r="K1226" s="143"/>
      <c r="N1226" s="106"/>
      <c r="O1226" s="106"/>
      <c r="P1226" s="106"/>
      <c r="Q1226" s="106"/>
      <c r="R1226" s="106"/>
      <c r="S1226" s="106"/>
    </row>
    <row r="1227" spans="1:19" s="105" customFormat="1">
      <c r="A1227" s="106"/>
      <c r="B1227" s="175" t="s">
        <v>51</v>
      </c>
      <c r="C1227" s="139"/>
      <c r="D1227" s="140"/>
      <c r="E1227" s="139"/>
      <c r="F1227" s="139"/>
      <c r="G1227" s="140"/>
      <c r="H1227" s="139"/>
      <c r="I1227" s="139"/>
      <c r="J1227" s="139"/>
      <c r="K1227" s="143"/>
      <c r="N1227" s="106"/>
      <c r="O1227" s="106"/>
      <c r="P1227" s="106"/>
      <c r="Q1227" s="106"/>
      <c r="R1227" s="106"/>
      <c r="S1227" s="106"/>
    </row>
    <row r="1228" spans="1:19" s="105" customFormat="1">
      <c r="A1228" s="106"/>
      <c r="B1228" s="194" t="s">
        <v>23</v>
      </c>
      <c r="C1228" s="139"/>
      <c r="D1228" s="140"/>
      <c r="E1228" s="139"/>
      <c r="F1228" s="139"/>
      <c r="G1228" s="140"/>
      <c r="H1228" s="139"/>
      <c r="I1228" s="139"/>
      <c r="J1228" s="139"/>
      <c r="K1228" s="143"/>
      <c r="N1228" s="106"/>
      <c r="O1228" s="106"/>
      <c r="P1228" s="106"/>
      <c r="Q1228" s="106"/>
      <c r="R1228" s="106"/>
      <c r="S1228" s="106"/>
    </row>
    <row r="1229" spans="1:19" s="105" customFormat="1">
      <c r="A1229" s="106"/>
      <c r="B1229" s="175" t="s">
        <v>53</v>
      </c>
      <c r="C1229" s="139"/>
      <c r="D1229" s="140"/>
      <c r="E1229" s="139"/>
      <c r="F1229" s="139"/>
      <c r="G1229" s="140"/>
      <c r="H1229" s="139"/>
      <c r="I1229" s="139"/>
      <c r="J1229" s="139"/>
      <c r="K1229" s="143"/>
      <c r="N1229" s="106"/>
      <c r="O1229" s="106"/>
      <c r="P1229" s="106"/>
      <c r="Q1229" s="106"/>
      <c r="R1229" s="106"/>
      <c r="S1229" s="106"/>
    </row>
    <row r="1230" spans="1:19" s="105" customFormat="1">
      <c r="A1230" s="106"/>
      <c r="B1230" s="175" t="s">
        <v>52</v>
      </c>
      <c r="C1230" s="139"/>
      <c r="D1230" s="140"/>
      <c r="E1230" s="139"/>
      <c r="F1230" s="139"/>
      <c r="G1230" s="140"/>
      <c r="H1230" s="139"/>
      <c r="I1230" s="139"/>
      <c r="J1230" s="139"/>
      <c r="K1230" s="143"/>
      <c r="N1230" s="106"/>
      <c r="O1230" s="106"/>
      <c r="P1230" s="106"/>
      <c r="Q1230" s="106"/>
      <c r="R1230" s="106"/>
      <c r="S1230" s="106"/>
    </row>
    <row r="1231" spans="1:19" s="105" customFormat="1">
      <c r="A1231" s="106"/>
      <c r="B1231" s="175"/>
      <c r="C1231" s="139"/>
      <c r="D1231" s="140"/>
      <c r="E1231" s="139"/>
      <c r="F1231" s="139"/>
      <c r="G1231" s="140"/>
      <c r="H1231" s="139"/>
      <c r="I1231" s="139"/>
      <c r="J1231" s="139"/>
      <c r="K1231" s="143"/>
      <c r="N1231" s="106"/>
      <c r="O1231" s="106"/>
      <c r="P1231" s="106"/>
      <c r="Q1231" s="106"/>
      <c r="R1231" s="106"/>
      <c r="S1231" s="106"/>
    </row>
    <row r="1232" spans="1:19" s="105" customFormat="1">
      <c r="A1232" s="106"/>
      <c r="B1232" s="175" t="s">
        <v>56</v>
      </c>
      <c r="C1232" s="139"/>
      <c r="D1232" s="140"/>
      <c r="E1232" s="139">
        <f>SUM(E1233:E1233)</f>
        <v>0</v>
      </c>
      <c r="F1232" s="139"/>
      <c r="G1232" s="140"/>
      <c r="H1232" s="139">
        <f>SUM(H1233:H1233)</f>
        <v>0</v>
      </c>
      <c r="I1232" s="143"/>
      <c r="J1232" s="143"/>
      <c r="K1232" s="143"/>
      <c r="N1232" s="106"/>
      <c r="O1232" s="106"/>
      <c r="P1232" s="106"/>
      <c r="Q1232" s="106"/>
      <c r="R1232" s="106"/>
      <c r="S1232" s="106"/>
    </row>
    <row r="1233" spans="1:19" s="105" customFormat="1">
      <c r="A1233" s="106"/>
      <c r="B1233" s="175"/>
      <c r="C1233" s="139"/>
      <c r="D1233" s="140"/>
      <c r="E1233" s="139"/>
      <c r="F1233" s="139"/>
      <c r="G1233" s="140"/>
      <c r="H1233" s="139"/>
      <c r="I1233" s="139"/>
      <c r="J1233" s="139"/>
      <c r="K1233" s="143"/>
      <c r="N1233" s="106"/>
      <c r="O1233" s="106"/>
      <c r="P1233" s="106"/>
      <c r="Q1233" s="106"/>
      <c r="R1233" s="106"/>
      <c r="S1233" s="106"/>
    </row>
    <row r="1234" spans="1:19" s="105" customFormat="1">
      <c r="A1234" s="106"/>
      <c r="B1234" s="175"/>
      <c r="C1234" s="139"/>
      <c r="D1234" s="140"/>
      <c r="E1234" s="139"/>
      <c r="F1234" s="139"/>
      <c r="G1234" s="140"/>
      <c r="H1234" s="139"/>
      <c r="I1234" s="139"/>
      <c r="J1234" s="139"/>
      <c r="K1234" s="143"/>
      <c r="N1234" s="106"/>
      <c r="O1234" s="106"/>
      <c r="P1234" s="106"/>
      <c r="Q1234" s="106"/>
      <c r="R1234" s="106"/>
      <c r="S1234" s="106"/>
    </row>
    <row r="1235" spans="1:19" s="105" customFormat="1">
      <c r="A1235" s="106"/>
      <c r="B1235" s="286" t="s">
        <v>164</v>
      </c>
      <c r="C1235" s="139"/>
      <c r="D1235" s="140"/>
      <c r="E1235" s="139">
        <f>+E1236</f>
        <v>834.2287</v>
      </c>
      <c r="F1235" s="139"/>
      <c r="G1235" s="140"/>
      <c r="H1235" s="139">
        <f>+H1236</f>
        <v>1570.2283199999999</v>
      </c>
      <c r="I1235" s="141">
        <f t="shared" si="47"/>
        <v>735.99961999999994</v>
      </c>
      <c r="J1235" s="142">
        <f t="shared" ref="J1235:J1268" si="48">+I1235*100/H1235</f>
        <v>46.872140224805015</v>
      </c>
      <c r="K1235" s="143"/>
      <c r="N1235" s="106"/>
      <c r="O1235" s="106"/>
      <c r="P1235" s="106"/>
      <c r="Q1235" s="106"/>
      <c r="R1235" s="106"/>
      <c r="S1235" s="106"/>
    </row>
    <row r="1236" spans="1:19" s="105" customFormat="1" ht="37.5">
      <c r="A1236" s="106"/>
      <c r="B1236" s="286" t="s">
        <v>778</v>
      </c>
      <c r="C1236" s="139"/>
      <c r="D1236" s="140"/>
      <c r="E1236" s="139">
        <f>+E1237+E1404</f>
        <v>834.2287</v>
      </c>
      <c r="F1236" s="139"/>
      <c r="G1236" s="140"/>
      <c r="H1236" s="139">
        <f>+H1237+H1404</f>
        <v>1570.2283199999999</v>
      </c>
      <c r="I1236" s="141">
        <f t="shared" si="47"/>
        <v>735.99961999999994</v>
      </c>
      <c r="J1236" s="142">
        <f t="shared" si="48"/>
        <v>46.872140224805015</v>
      </c>
      <c r="K1236" s="143"/>
      <c r="N1236" s="106"/>
      <c r="O1236" s="106"/>
      <c r="P1236" s="106"/>
      <c r="Q1236" s="106"/>
      <c r="R1236" s="106"/>
      <c r="S1236" s="106"/>
    </row>
    <row r="1237" spans="1:19" s="105" customFormat="1">
      <c r="A1237" s="106"/>
      <c r="B1237" s="286" t="s">
        <v>779</v>
      </c>
      <c r="C1237" s="139"/>
      <c r="D1237" s="140"/>
      <c r="E1237" s="139">
        <f>+E1241+E1365+E1388+E1397</f>
        <v>823.96119999999996</v>
      </c>
      <c r="F1237" s="139"/>
      <c r="G1237" s="140"/>
      <c r="H1237" s="139">
        <f>+H1241+H1365+H1388+H1397</f>
        <v>1570.2283199999999</v>
      </c>
      <c r="I1237" s="141">
        <f t="shared" ref="I1237:I1287" si="49">+H1237-E1237</f>
        <v>746.26711999999998</v>
      </c>
      <c r="J1237" s="142">
        <f t="shared" si="48"/>
        <v>47.526026024037066</v>
      </c>
      <c r="K1237" s="143"/>
      <c r="N1237" s="106"/>
      <c r="O1237" s="106"/>
      <c r="P1237" s="106"/>
      <c r="Q1237" s="106"/>
      <c r="R1237" s="106"/>
      <c r="S1237" s="106"/>
    </row>
    <row r="1238" spans="1:19" s="105" customFormat="1">
      <c r="A1238" s="106"/>
      <c r="B1238" s="335" t="s">
        <v>24</v>
      </c>
      <c r="C1238" s="139"/>
      <c r="D1238" s="140"/>
      <c r="E1238" s="139"/>
      <c r="F1238" s="139"/>
      <c r="G1238" s="140"/>
      <c r="H1238" s="139"/>
      <c r="I1238" s="141">
        <f t="shared" si="49"/>
        <v>0</v>
      </c>
      <c r="J1238" s="142"/>
      <c r="K1238" s="143"/>
      <c r="N1238" s="106"/>
      <c r="O1238" s="106"/>
      <c r="P1238" s="106"/>
      <c r="Q1238" s="106"/>
      <c r="R1238" s="106"/>
      <c r="S1238" s="106"/>
    </row>
    <row r="1239" spans="1:19" s="105" customFormat="1" ht="32.25">
      <c r="A1239" s="106"/>
      <c r="B1239" s="325" t="s">
        <v>68</v>
      </c>
      <c r="C1239" s="336" t="s">
        <v>25</v>
      </c>
      <c r="D1239" s="337"/>
      <c r="E1239" s="336" t="s">
        <v>58</v>
      </c>
      <c r="F1239" s="336"/>
      <c r="G1239" s="337" t="s">
        <v>26</v>
      </c>
      <c r="H1239" s="336"/>
      <c r="I1239" s="141"/>
      <c r="J1239" s="142"/>
      <c r="K1239" s="338"/>
      <c r="N1239" s="106"/>
      <c r="O1239" s="106"/>
      <c r="P1239" s="106"/>
      <c r="Q1239" s="106"/>
      <c r="R1239" s="106"/>
      <c r="S1239" s="106"/>
    </row>
    <row r="1240" spans="1:19" s="105" customFormat="1" ht="32.25">
      <c r="A1240" s="106"/>
      <c r="B1240" s="325"/>
      <c r="C1240" s="336" t="s">
        <v>60</v>
      </c>
      <c r="D1240" s="337"/>
      <c r="E1240" s="336" t="s">
        <v>62</v>
      </c>
      <c r="F1240" s="336"/>
      <c r="G1240" s="337" t="s">
        <v>61</v>
      </c>
      <c r="H1240" s="336"/>
      <c r="I1240" s="141"/>
      <c r="J1240" s="142"/>
      <c r="K1240" s="338"/>
      <c r="N1240" s="106"/>
      <c r="O1240" s="106"/>
      <c r="P1240" s="106"/>
      <c r="Q1240" s="106"/>
      <c r="R1240" s="106"/>
      <c r="S1240" s="106"/>
    </row>
    <row r="1241" spans="1:19" s="105" customFormat="1">
      <c r="A1241" s="106"/>
      <c r="B1241" s="175" t="s">
        <v>38</v>
      </c>
      <c r="C1241" s="139"/>
      <c r="D1241" s="140"/>
      <c r="E1241" s="139">
        <f>+E1242+E1359</f>
        <v>147.4641</v>
      </c>
      <c r="F1241" s="139"/>
      <c r="G1241" s="140"/>
      <c r="H1241" s="139">
        <f>+H1242+H1359</f>
        <v>211.66832000000002</v>
      </c>
      <c r="I1241" s="141">
        <f t="shared" si="49"/>
        <v>64.204220000000021</v>
      </c>
      <c r="J1241" s="142">
        <f t="shared" si="48"/>
        <v>30.332465434600707</v>
      </c>
      <c r="K1241" s="143"/>
      <c r="N1241" s="106"/>
      <c r="O1241" s="106"/>
      <c r="P1241" s="106"/>
      <c r="Q1241" s="106"/>
      <c r="R1241" s="106"/>
      <c r="S1241" s="106"/>
    </row>
    <row r="1242" spans="1:19" s="105" customFormat="1">
      <c r="A1242" s="106"/>
      <c r="B1242" s="175" t="s">
        <v>41</v>
      </c>
      <c r="C1242" s="139"/>
      <c r="D1242" s="140"/>
      <c r="E1242" s="139">
        <f>+E1243+E1253+E1348</f>
        <v>147.4641</v>
      </c>
      <c r="F1242" s="139"/>
      <c r="G1242" s="140"/>
      <c r="H1242" s="139">
        <f>+H1243+H1253+H1348</f>
        <v>211.66832000000002</v>
      </c>
      <c r="I1242" s="141">
        <f t="shared" si="49"/>
        <v>64.204220000000021</v>
      </c>
      <c r="J1242" s="142">
        <f t="shared" si="48"/>
        <v>30.332465434600707</v>
      </c>
      <c r="K1242" s="143"/>
      <c r="N1242" s="106"/>
      <c r="O1242" s="106"/>
      <c r="P1242" s="106"/>
      <c r="Q1242" s="106"/>
      <c r="R1242" s="106"/>
      <c r="S1242" s="106"/>
    </row>
    <row r="1243" spans="1:19" s="105" customFormat="1">
      <c r="A1243" s="106"/>
      <c r="B1243" s="175" t="s">
        <v>42</v>
      </c>
      <c r="C1243" s="139"/>
      <c r="D1243" s="140"/>
      <c r="E1243" s="139">
        <f>SUM(E1246:E1246)</f>
        <v>4</v>
      </c>
      <c r="F1243" s="139"/>
      <c r="G1243" s="140"/>
      <c r="H1243" s="139">
        <f>SUM(H1244:H1252)</f>
        <v>6.9773200000000006</v>
      </c>
      <c r="I1243" s="141">
        <f t="shared" si="49"/>
        <v>2.9773200000000006</v>
      </c>
      <c r="J1243" s="142">
        <f t="shared" si="48"/>
        <v>42.671398187269617</v>
      </c>
      <c r="K1243" s="143"/>
      <c r="N1243" s="106"/>
      <c r="O1243" s="106"/>
      <c r="P1243" s="106"/>
      <c r="Q1243" s="106"/>
      <c r="R1243" s="106"/>
      <c r="S1243" s="106"/>
    </row>
    <row r="1244" spans="1:19" s="105" customFormat="1" ht="93.75">
      <c r="A1244" s="106"/>
      <c r="B1244" s="194" t="s">
        <v>780</v>
      </c>
      <c r="C1244" s="139"/>
      <c r="D1244" s="140"/>
      <c r="E1244" s="139"/>
      <c r="F1244" s="139"/>
      <c r="G1244" s="140"/>
      <c r="H1244" s="139">
        <f>0.3+0.00132</f>
        <v>0.30131999999999998</v>
      </c>
      <c r="I1244" s="141">
        <f t="shared" si="49"/>
        <v>0.30131999999999998</v>
      </c>
      <c r="J1244" s="142">
        <f t="shared" si="48"/>
        <v>100</v>
      </c>
      <c r="K1244" s="175" t="s">
        <v>781</v>
      </c>
      <c r="N1244" s="106"/>
      <c r="O1244" s="106"/>
      <c r="P1244" s="106"/>
      <c r="Q1244" s="106"/>
      <c r="R1244" s="106"/>
      <c r="S1244" s="106"/>
    </row>
    <row r="1245" spans="1:19" s="105" customFormat="1" ht="93.75">
      <c r="A1245" s="106"/>
      <c r="B1245" s="194"/>
      <c r="C1245" s="139"/>
      <c r="D1245" s="140"/>
      <c r="E1245" s="139"/>
      <c r="F1245" s="139"/>
      <c r="G1245" s="140"/>
      <c r="H1245" s="139"/>
      <c r="I1245" s="141"/>
      <c r="J1245" s="142"/>
      <c r="K1245" s="175" t="s">
        <v>782</v>
      </c>
      <c r="N1245" s="106"/>
      <c r="O1245" s="106"/>
      <c r="P1245" s="106"/>
      <c r="Q1245" s="106"/>
      <c r="R1245" s="106"/>
      <c r="S1245" s="106"/>
    </row>
    <row r="1246" spans="1:19" s="105" customFormat="1" ht="56.25">
      <c r="A1246" s="106"/>
      <c r="B1246" s="194" t="s">
        <v>272</v>
      </c>
      <c r="C1246" s="139"/>
      <c r="D1246" s="140"/>
      <c r="E1246" s="139">
        <v>4</v>
      </c>
      <c r="F1246" s="139"/>
      <c r="G1246" s="140"/>
      <c r="H1246" s="139">
        <v>0.18</v>
      </c>
      <c r="I1246" s="141">
        <f t="shared" si="49"/>
        <v>-3.82</v>
      </c>
      <c r="J1246" s="142">
        <f t="shared" si="48"/>
        <v>-2122.2222222222222</v>
      </c>
      <c r="K1246" s="175" t="s">
        <v>783</v>
      </c>
      <c r="N1246" s="106"/>
      <c r="O1246" s="106"/>
      <c r="P1246" s="106"/>
      <c r="Q1246" s="106"/>
      <c r="R1246" s="106"/>
      <c r="S1246" s="106"/>
    </row>
    <row r="1247" spans="1:19" s="105" customFormat="1" ht="37.5">
      <c r="A1247" s="106"/>
      <c r="B1247" s="194" t="s">
        <v>275</v>
      </c>
      <c r="C1247" s="139"/>
      <c r="D1247" s="140"/>
      <c r="E1247" s="139"/>
      <c r="F1247" s="139"/>
      <c r="G1247" s="140"/>
      <c r="H1247" s="139">
        <f>6.367+0.129</f>
        <v>6.4960000000000004</v>
      </c>
      <c r="I1247" s="141">
        <f t="shared" si="49"/>
        <v>6.4960000000000004</v>
      </c>
      <c r="J1247" s="142">
        <f t="shared" si="48"/>
        <v>100</v>
      </c>
      <c r="K1247" s="175" t="s">
        <v>784</v>
      </c>
      <c r="N1247" s="106"/>
      <c r="O1247" s="106"/>
      <c r="P1247" s="106"/>
      <c r="Q1247" s="106"/>
      <c r="R1247" s="106"/>
      <c r="S1247" s="106"/>
    </row>
    <row r="1248" spans="1:19" s="105" customFormat="1" ht="56.25">
      <c r="A1248" s="106"/>
      <c r="B1248" s="194"/>
      <c r="C1248" s="139"/>
      <c r="D1248" s="140"/>
      <c r="E1248" s="139"/>
      <c r="F1248" s="139"/>
      <c r="G1248" s="140"/>
      <c r="H1248" s="139"/>
      <c r="I1248" s="141"/>
      <c r="J1248" s="142"/>
      <c r="K1248" s="175" t="s">
        <v>785</v>
      </c>
      <c r="N1248" s="106"/>
      <c r="O1248" s="106"/>
      <c r="P1248" s="106"/>
      <c r="Q1248" s="106"/>
      <c r="R1248" s="106"/>
      <c r="S1248" s="106"/>
    </row>
    <row r="1249" spans="1:19" s="105" customFormat="1" ht="56.25">
      <c r="A1249" s="106"/>
      <c r="B1249" s="194"/>
      <c r="C1249" s="139"/>
      <c r="D1249" s="140"/>
      <c r="E1249" s="139"/>
      <c r="F1249" s="139"/>
      <c r="G1249" s="140"/>
      <c r="H1249" s="139"/>
      <c r="I1249" s="141"/>
      <c r="J1249" s="142"/>
      <c r="K1249" s="175" t="s">
        <v>786</v>
      </c>
      <c r="N1249" s="106"/>
      <c r="O1249" s="106"/>
      <c r="P1249" s="106"/>
      <c r="Q1249" s="106"/>
      <c r="R1249" s="106"/>
      <c r="S1249" s="106"/>
    </row>
    <row r="1250" spans="1:19" s="105" customFormat="1" ht="37.5">
      <c r="A1250" s="106"/>
      <c r="B1250" s="194"/>
      <c r="C1250" s="139"/>
      <c r="D1250" s="140"/>
      <c r="E1250" s="139"/>
      <c r="F1250" s="139"/>
      <c r="G1250" s="140"/>
      <c r="H1250" s="139"/>
      <c r="I1250" s="141"/>
      <c r="J1250" s="142"/>
      <c r="K1250" s="175" t="s">
        <v>787</v>
      </c>
      <c r="N1250" s="106"/>
      <c r="O1250" s="106"/>
      <c r="P1250" s="106"/>
      <c r="Q1250" s="106"/>
      <c r="R1250" s="106"/>
      <c r="S1250" s="106"/>
    </row>
    <row r="1251" spans="1:19" s="105" customFormat="1" ht="37.5">
      <c r="A1251" s="106"/>
      <c r="B1251" s="194"/>
      <c r="C1251" s="139"/>
      <c r="D1251" s="140"/>
      <c r="E1251" s="139"/>
      <c r="F1251" s="139"/>
      <c r="G1251" s="140"/>
      <c r="H1251" s="139"/>
      <c r="I1251" s="141"/>
      <c r="J1251" s="142"/>
      <c r="K1251" s="175" t="s">
        <v>788</v>
      </c>
      <c r="N1251" s="106"/>
      <c r="O1251" s="106"/>
      <c r="P1251" s="106"/>
      <c r="Q1251" s="106"/>
      <c r="R1251" s="106"/>
      <c r="S1251" s="106"/>
    </row>
    <row r="1252" spans="1:19" s="105" customFormat="1">
      <c r="A1252" s="106"/>
      <c r="B1252" s="194"/>
      <c r="C1252" s="139"/>
      <c r="D1252" s="140"/>
      <c r="E1252" s="139"/>
      <c r="F1252" s="139"/>
      <c r="G1252" s="140"/>
      <c r="H1252" s="139"/>
      <c r="I1252" s="141"/>
      <c r="J1252" s="142"/>
      <c r="K1252" s="143"/>
      <c r="N1252" s="106"/>
      <c r="O1252" s="106"/>
      <c r="P1252" s="106"/>
      <c r="Q1252" s="106"/>
      <c r="R1252" s="106"/>
      <c r="S1252" s="106"/>
    </row>
    <row r="1253" spans="1:19" s="105" customFormat="1">
      <c r="A1253" s="106"/>
      <c r="B1253" s="175" t="s">
        <v>43</v>
      </c>
      <c r="C1253" s="139"/>
      <c r="D1253" s="140"/>
      <c r="E1253" s="139">
        <f>SUM(E1255:E1336)</f>
        <v>127.60140000000001</v>
      </c>
      <c r="F1253" s="139"/>
      <c r="G1253" s="140"/>
      <c r="H1253" s="139">
        <f>SUM(H1255:H1336)</f>
        <v>200.52885000000003</v>
      </c>
      <c r="I1253" s="141">
        <f t="shared" si="49"/>
        <v>72.927450000000022</v>
      </c>
      <c r="J1253" s="142">
        <f t="shared" si="48"/>
        <v>36.367560079260421</v>
      </c>
      <c r="K1253" s="143"/>
      <c r="N1253" s="106"/>
      <c r="O1253" s="106"/>
      <c r="P1253" s="106"/>
      <c r="Q1253" s="106"/>
      <c r="R1253" s="106"/>
      <c r="S1253" s="106"/>
    </row>
    <row r="1254" spans="1:19" s="105" customFormat="1">
      <c r="A1254" s="106"/>
      <c r="B1254" s="175" t="s">
        <v>19</v>
      </c>
      <c r="C1254" s="139"/>
      <c r="D1254" s="140"/>
      <c r="E1254" s="139"/>
      <c r="F1254" s="139"/>
      <c r="G1254" s="140"/>
      <c r="H1254" s="139"/>
      <c r="I1254" s="139"/>
      <c r="J1254" s="139"/>
      <c r="K1254" s="143"/>
      <c r="N1254" s="106"/>
      <c r="O1254" s="106"/>
      <c r="P1254" s="106"/>
      <c r="Q1254" s="106"/>
      <c r="R1254" s="106"/>
      <c r="S1254" s="106"/>
    </row>
    <row r="1255" spans="1:19" s="105" customFormat="1" ht="56.25">
      <c r="A1255" s="106"/>
      <c r="B1255" s="194" t="s">
        <v>85</v>
      </c>
      <c r="C1255" s="139"/>
      <c r="D1255" s="140"/>
      <c r="E1255" s="139">
        <v>1.9114</v>
      </c>
      <c r="F1255" s="139"/>
      <c r="G1255" s="140"/>
      <c r="H1255" s="139">
        <f>0.3008+1.1039+0.1322+0.5+2.8616</f>
        <v>4.8985000000000003</v>
      </c>
      <c r="I1255" s="141">
        <f t="shared" si="49"/>
        <v>2.9871000000000003</v>
      </c>
      <c r="J1255" s="142">
        <f t="shared" si="48"/>
        <v>60.979891803613356</v>
      </c>
      <c r="K1255" s="175" t="s">
        <v>789</v>
      </c>
      <c r="N1255" s="106"/>
      <c r="O1255" s="106"/>
      <c r="P1255" s="106"/>
      <c r="Q1255" s="106"/>
      <c r="R1255" s="106"/>
      <c r="S1255" s="106"/>
    </row>
    <row r="1256" spans="1:19" s="105" customFormat="1">
      <c r="A1256" s="106"/>
      <c r="B1256" s="194"/>
      <c r="C1256" s="139"/>
      <c r="D1256" s="140"/>
      <c r="E1256" s="139"/>
      <c r="F1256" s="139"/>
      <c r="G1256" s="140"/>
      <c r="H1256" s="139"/>
      <c r="I1256" s="141"/>
      <c r="J1256" s="142"/>
      <c r="K1256" s="143" t="s">
        <v>790</v>
      </c>
      <c r="N1256" s="106"/>
      <c r="O1256" s="106"/>
      <c r="P1256" s="106"/>
      <c r="Q1256" s="106"/>
      <c r="R1256" s="106"/>
      <c r="S1256" s="106"/>
    </row>
    <row r="1257" spans="1:19" s="105" customFormat="1">
      <c r="A1257" s="106"/>
      <c r="B1257" s="194"/>
      <c r="C1257" s="139"/>
      <c r="D1257" s="140"/>
      <c r="E1257" s="139"/>
      <c r="F1257" s="139"/>
      <c r="G1257" s="140"/>
      <c r="H1257" s="139"/>
      <c r="I1257" s="141"/>
      <c r="J1257" s="142"/>
      <c r="K1257" s="143" t="s">
        <v>791</v>
      </c>
      <c r="N1257" s="106"/>
      <c r="O1257" s="106"/>
      <c r="P1257" s="106"/>
      <c r="Q1257" s="106"/>
      <c r="R1257" s="106"/>
      <c r="S1257" s="106"/>
    </row>
    <row r="1258" spans="1:19" s="105" customFormat="1">
      <c r="A1258" s="106"/>
      <c r="B1258" s="194"/>
      <c r="C1258" s="139"/>
      <c r="D1258" s="140"/>
      <c r="E1258" s="139"/>
      <c r="F1258" s="139"/>
      <c r="G1258" s="140"/>
      <c r="H1258" s="139"/>
      <c r="I1258" s="141"/>
      <c r="J1258" s="142"/>
      <c r="K1258" s="143" t="s">
        <v>792</v>
      </c>
      <c r="N1258" s="106"/>
      <c r="O1258" s="106"/>
      <c r="P1258" s="106"/>
      <c r="Q1258" s="106"/>
      <c r="R1258" s="106"/>
      <c r="S1258" s="106"/>
    </row>
    <row r="1259" spans="1:19" s="105" customFormat="1" ht="56.25">
      <c r="A1259" s="106"/>
      <c r="B1259" s="194"/>
      <c r="C1259" s="139"/>
      <c r="D1259" s="140"/>
      <c r="E1259" s="139"/>
      <c r="F1259" s="139"/>
      <c r="G1259" s="140"/>
      <c r="H1259" s="139"/>
      <c r="I1259" s="141"/>
      <c r="J1259" s="142"/>
      <c r="K1259" s="175" t="s">
        <v>793</v>
      </c>
      <c r="N1259" s="106"/>
      <c r="O1259" s="106"/>
      <c r="P1259" s="106"/>
      <c r="Q1259" s="106"/>
      <c r="R1259" s="106"/>
      <c r="S1259" s="106"/>
    </row>
    <row r="1260" spans="1:19" s="105" customFormat="1" ht="56.25">
      <c r="A1260" s="106"/>
      <c r="B1260" s="194"/>
      <c r="C1260" s="139"/>
      <c r="D1260" s="140"/>
      <c r="E1260" s="139"/>
      <c r="F1260" s="139"/>
      <c r="G1260" s="140"/>
      <c r="H1260" s="139"/>
      <c r="I1260" s="141"/>
      <c r="J1260" s="142"/>
      <c r="K1260" s="175" t="s">
        <v>794</v>
      </c>
      <c r="N1260" s="106"/>
      <c r="O1260" s="106"/>
      <c r="P1260" s="106"/>
      <c r="Q1260" s="106"/>
      <c r="R1260" s="106"/>
      <c r="S1260" s="106"/>
    </row>
    <row r="1261" spans="1:19" s="105" customFormat="1">
      <c r="A1261" s="106"/>
      <c r="B1261" s="194"/>
      <c r="C1261" s="139"/>
      <c r="D1261" s="140"/>
      <c r="E1261" s="139"/>
      <c r="F1261" s="139"/>
      <c r="G1261" s="140"/>
      <c r="H1261" s="139"/>
      <c r="I1261" s="141"/>
      <c r="J1261" s="142"/>
      <c r="K1261" s="143" t="s">
        <v>795</v>
      </c>
      <c r="N1261" s="106"/>
      <c r="O1261" s="106"/>
      <c r="P1261" s="106"/>
      <c r="Q1261" s="106"/>
      <c r="R1261" s="106"/>
      <c r="S1261" s="106"/>
    </row>
    <row r="1262" spans="1:19" s="105" customFormat="1">
      <c r="A1262" s="106"/>
      <c r="B1262" s="194"/>
      <c r="C1262" s="139"/>
      <c r="D1262" s="140"/>
      <c r="E1262" s="139"/>
      <c r="F1262" s="139"/>
      <c r="G1262" s="140"/>
      <c r="H1262" s="139"/>
      <c r="I1262" s="141"/>
      <c r="J1262" s="142"/>
      <c r="K1262" s="143" t="s">
        <v>796</v>
      </c>
      <c r="N1262" s="106"/>
      <c r="O1262" s="106"/>
      <c r="P1262" s="106"/>
      <c r="Q1262" s="106"/>
      <c r="R1262" s="106"/>
      <c r="S1262" s="106"/>
    </row>
    <row r="1263" spans="1:19" s="105" customFormat="1">
      <c r="A1263" s="106"/>
      <c r="B1263" s="194"/>
      <c r="C1263" s="139"/>
      <c r="D1263" s="140"/>
      <c r="E1263" s="139"/>
      <c r="F1263" s="139"/>
      <c r="G1263" s="140"/>
      <c r="H1263" s="139"/>
      <c r="I1263" s="141"/>
      <c r="J1263" s="142"/>
      <c r="K1263" s="143" t="s">
        <v>797</v>
      </c>
      <c r="N1263" s="106"/>
      <c r="O1263" s="106"/>
      <c r="P1263" s="106"/>
      <c r="Q1263" s="106"/>
      <c r="R1263" s="106"/>
      <c r="S1263" s="106"/>
    </row>
    <row r="1264" spans="1:19" s="105" customFormat="1">
      <c r="A1264" s="106"/>
      <c r="B1264" s="194"/>
      <c r="C1264" s="139"/>
      <c r="D1264" s="140"/>
      <c r="E1264" s="139"/>
      <c r="F1264" s="139"/>
      <c r="G1264" s="140"/>
      <c r="H1264" s="139"/>
      <c r="I1264" s="141"/>
      <c r="J1264" s="142"/>
      <c r="K1264" s="143" t="s">
        <v>798</v>
      </c>
      <c r="N1264" s="106"/>
      <c r="O1264" s="106"/>
      <c r="P1264" s="106"/>
      <c r="Q1264" s="106"/>
      <c r="R1264" s="106"/>
      <c r="S1264" s="106"/>
    </row>
    <row r="1265" spans="1:19" s="105" customFormat="1" ht="56.25">
      <c r="A1265" s="106"/>
      <c r="B1265" s="194"/>
      <c r="C1265" s="139"/>
      <c r="D1265" s="140"/>
      <c r="E1265" s="139"/>
      <c r="F1265" s="139"/>
      <c r="G1265" s="140"/>
      <c r="H1265" s="139"/>
      <c r="I1265" s="141"/>
      <c r="J1265" s="142"/>
      <c r="K1265" s="175" t="s">
        <v>799</v>
      </c>
      <c r="N1265" s="106"/>
      <c r="O1265" s="106"/>
      <c r="P1265" s="106"/>
      <c r="Q1265" s="106"/>
      <c r="R1265" s="106"/>
      <c r="S1265" s="106"/>
    </row>
    <row r="1266" spans="1:19" s="105" customFormat="1" ht="56.25">
      <c r="A1266" s="106"/>
      <c r="B1266" s="194"/>
      <c r="C1266" s="139"/>
      <c r="D1266" s="140"/>
      <c r="E1266" s="139"/>
      <c r="F1266" s="139"/>
      <c r="G1266" s="140"/>
      <c r="H1266" s="139"/>
      <c r="I1266" s="141"/>
      <c r="J1266" s="142"/>
      <c r="K1266" s="175" t="s">
        <v>800</v>
      </c>
      <c r="N1266" s="106"/>
      <c r="O1266" s="106"/>
      <c r="P1266" s="106"/>
      <c r="Q1266" s="106"/>
      <c r="R1266" s="106"/>
      <c r="S1266" s="106"/>
    </row>
    <row r="1267" spans="1:19" s="105" customFormat="1" ht="93.75">
      <c r="A1267" s="106"/>
      <c r="B1267" s="194" t="s">
        <v>801</v>
      </c>
      <c r="C1267" s="139"/>
      <c r="D1267" s="140"/>
      <c r="E1267" s="139"/>
      <c r="F1267" s="139"/>
      <c r="G1267" s="140"/>
      <c r="H1267" s="139">
        <v>3</v>
      </c>
      <c r="I1267" s="141">
        <f t="shared" si="49"/>
        <v>3</v>
      </c>
      <c r="J1267" s="142">
        <f t="shared" si="48"/>
        <v>100</v>
      </c>
      <c r="K1267" s="175" t="s">
        <v>802</v>
      </c>
      <c r="N1267" s="106"/>
      <c r="O1267" s="106"/>
      <c r="P1267" s="106"/>
      <c r="Q1267" s="106"/>
      <c r="R1267" s="106"/>
      <c r="S1267" s="106"/>
    </row>
    <row r="1268" spans="1:19" s="105" customFormat="1" ht="37.5">
      <c r="A1268" s="106"/>
      <c r="B1268" s="194" t="s">
        <v>803</v>
      </c>
      <c r="C1268" s="139"/>
      <c r="D1268" s="140"/>
      <c r="E1268" s="139">
        <v>33.700000000000003</v>
      </c>
      <c r="F1268" s="139"/>
      <c r="G1268" s="140"/>
      <c r="H1268" s="139">
        <f>3.4868+10.2325+0.0432+6.0587+11.3</f>
        <v>31.121200000000002</v>
      </c>
      <c r="I1268" s="141">
        <f t="shared" si="49"/>
        <v>-2.5788000000000011</v>
      </c>
      <c r="J1268" s="142">
        <f t="shared" si="48"/>
        <v>-8.2863128671130966</v>
      </c>
      <c r="K1268" s="175" t="s">
        <v>804</v>
      </c>
      <c r="N1268" s="106"/>
      <c r="O1268" s="106"/>
      <c r="P1268" s="106"/>
      <c r="Q1268" s="106"/>
      <c r="R1268" s="106"/>
      <c r="S1268" s="106"/>
    </row>
    <row r="1269" spans="1:19" s="105" customFormat="1">
      <c r="A1269" s="106"/>
      <c r="B1269" s="194"/>
      <c r="C1269" s="139"/>
      <c r="D1269" s="140"/>
      <c r="E1269" s="139"/>
      <c r="F1269" s="139"/>
      <c r="G1269" s="140"/>
      <c r="H1269" s="139"/>
      <c r="I1269" s="141"/>
      <c r="J1269" s="142"/>
      <c r="K1269" s="143" t="s">
        <v>805</v>
      </c>
      <c r="N1269" s="106"/>
      <c r="O1269" s="106"/>
      <c r="P1269" s="106"/>
      <c r="Q1269" s="106"/>
      <c r="R1269" s="106"/>
      <c r="S1269" s="106"/>
    </row>
    <row r="1270" spans="1:19" s="105" customFormat="1" ht="37.5">
      <c r="A1270" s="106"/>
      <c r="B1270" s="194"/>
      <c r="C1270" s="139"/>
      <c r="D1270" s="140"/>
      <c r="E1270" s="139"/>
      <c r="F1270" s="139"/>
      <c r="G1270" s="140"/>
      <c r="H1270" s="139"/>
      <c r="I1270" s="141"/>
      <c r="J1270" s="142"/>
      <c r="K1270" s="175" t="s">
        <v>806</v>
      </c>
      <c r="N1270" s="106"/>
      <c r="O1270" s="106"/>
      <c r="P1270" s="106"/>
      <c r="Q1270" s="106"/>
      <c r="R1270" s="106"/>
      <c r="S1270" s="106"/>
    </row>
    <row r="1271" spans="1:19" s="105" customFormat="1" ht="37.5">
      <c r="A1271" s="106"/>
      <c r="B1271" s="194"/>
      <c r="C1271" s="139"/>
      <c r="D1271" s="140"/>
      <c r="E1271" s="139"/>
      <c r="F1271" s="139"/>
      <c r="G1271" s="140"/>
      <c r="H1271" s="139"/>
      <c r="I1271" s="141"/>
      <c r="J1271" s="142"/>
      <c r="K1271" s="175" t="s">
        <v>807</v>
      </c>
      <c r="N1271" s="106"/>
      <c r="O1271" s="106"/>
      <c r="P1271" s="106"/>
      <c r="Q1271" s="106"/>
      <c r="R1271" s="106"/>
      <c r="S1271" s="106"/>
    </row>
    <row r="1272" spans="1:19" s="105" customFormat="1" ht="37.5">
      <c r="A1272" s="106"/>
      <c r="B1272" s="194"/>
      <c r="C1272" s="139"/>
      <c r="D1272" s="140"/>
      <c r="E1272" s="139"/>
      <c r="F1272" s="139"/>
      <c r="G1272" s="140"/>
      <c r="H1272" s="139"/>
      <c r="I1272" s="141"/>
      <c r="J1272" s="142"/>
      <c r="K1272" s="175" t="s">
        <v>808</v>
      </c>
      <c r="N1272" s="106"/>
      <c r="O1272" s="106"/>
      <c r="P1272" s="106"/>
      <c r="Q1272" s="106"/>
      <c r="R1272" s="106"/>
      <c r="S1272" s="106"/>
    </row>
    <row r="1273" spans="1:19" s="105" customFormat="1" ht="56.25">
      <c r="A1273" s="106"/>
      <c r="B1273" s="194"/>
      <c r="C1273" s="139"/>
      <c r="D1273" s="140"/>
      <c r="E1273" s="139"/>
      <c r="F1273" s="139"/>
      <c r="G1273" s="140"/>
      <c r="H1273" s="139"/>
      <c r="I1273" s="141"/>
      <c r="J1273" s="142"/>
      <c r="K1273" s="175" t="s">
        <v>809</v>
      </c>
      <c r="N1273" s="106"/>
      <c r="O1273" s="106"/>
      <c r="P1273" s="106"/>
      <c r="Q1273" s="106"/>
      <c r="R1273" s="106"/>
      <c r="S1273" s="106"/>
    </row>
    <row r="1274" spans="1:19" s="105" customFormat="1" ht="56.25">
      <c r="A1274" s="106"/>
      <c r="B1274" s="194"/>
      <c r="C1274" s="139"/>
      <c r="D1274" s="140"/>
      <c r="E1274" s="139"/>
      <c r="F1274" s="139"/>
      <c r="G1274" s="140"/>
      <c r="H1274" s="139"/>
      <c r="I1274" s="141"/>
      <c r="J1274" s="142"/>
      <c r="K1274" s="175" t="s">
        <v>810</v>
      </c>
      <c r="N1274" s="106"/>
      <c r="O1274" s="106"/>
      <c r="P1274" s="106"/>
      <c r="Q1274" s="106"/>
      <c r="R1274" s="106"/>
      <c r="S1274" s="106"/>
    </row>
    <row r="1275" spans="1:19" s="105" customFormat="1" ht="37.5">
      <c r="A1275" s="106"/>
      <c r="B1275" s="194"/>
      <c r="C1275" s="139"/>
      <c r="D1275" s="140"/>
      <c r="E1275" s="139"/>
      <c r="F1275" s="139"/>
      <c r="G1275" s="140"/>
      <c r="H1275" s="139"/>
      <c r="I1275" s="141"/>
      <c r="J1275" s="142"/>
      <c r="K1275" s="175" t="s">
        <v>811</v>
      </c>
      <c r="N1275" s="106"/>
      <c r="O1275" s="106"/>
      <c r="P1275" s="106"/>
      <c r="Q1275" s="106"/>
      <c r="R1275" s="106"/>
      <c r="S1275" s="106"/>
    </row>
    <row r="1276" spans="1:19" s="105" customFormat="1" ht="37.5">
      <c r="A1276" s="106"/>
      <c r="B1276" s="194"/>
      <c r="C1276" s="139"/>
      <c r="D1276" s="140"/>
      <c r="E1276" s="139"/>
      <c r="F1276" s="139"/>
      <c r="G1276" s="140"/>
      <c r="H1276" s="139"/>
      <c r="I1276" s="141"/>
      <c r="J1276" s="142"/>
      <c r="K1276" s="175" t="s">
        <v>812</v>
      </c>
      <c r="N1276" s="106"/>
      <c r="O1276" s="106"/>
      <c r="P1276" s="106"/>
      <c r="Q1276" s="106"/>
      <c r="R1276" s="106"/>
      <c r="S1276" s="106"/>
    </row>
    <row r="1277" spans="1:19" s="105" customFormat="1" ht="37.5">
      <c r="A1277" s="106"/>
      <c r="B1277" s="194"/>
      <c r="C1277" s="139"/>
      <c r="D1277" s="140"/>
      <c r="E1277" s="139"/>
      <c r="F1277" s="139"/>
      <c r="G1277" s="140"/>
      <c r="H1277" s="139"/>
      <c r="I1277" s="141"/>
      <c r="J1277" s="142"/>
      <c r="K1277" s="175" t="s">
        <v>813</v>
      </c>
      <c r="N1277" s="106"/>
      <c r="O1277" s="106"/>
      <c r="P1277" s="106"/>
      <c r="Q1277" s="106"/>
      <c r="R1277" s="106"/>
      <c r="S1277" s="106"/>
    </row>
    <row r="1278" spans="1:19" s="105" customFormat="1" ht="37.5">
      <c r="A1278" s="106"/>
      <c r="B1278" s="194"/>
      <c r="C1278" s="139"/>
      <c r="D1278" s="140"/>
      <c r="E1278" s="139"/>
      <c r="F1278" s="139"/>
      <c r="G1278" s="140"/>
      <c r="H1278" s="139"/>
      <c r="I1278" s="141"/>
      <c r="J1278" s="142"/>
      <c r="K1278" s="175" t="s">
        <v>814</v>
      </c>
      <c r="N1278" s="106"/>
      <c r="O1278" s="106"/>
      <c r="P1278" s="106"/>
      <c r="Q1278" s="106"/>
      <c r="R1278" s="106"/>
      <c r="S1278" s="106"/>
    </row>
    <row r="1279" spans="1:19" s="105" customFormat="1" ht="37.5">
      <c r="A1279" s="106"/>
      <c r="B1279" s="194"/>
      <c r="C1279" s="139"/>
      <c r="D1279" s="140"/>
      <c r="E1279" s="139"/>
      <c r="F1279" s="139"/>
      <c r="G1279" s="140"/>
      <c r="H1279" s="139"/>
      <c r="I1279" s="141"/>
      <c r="J1279" s="142"/>
      <c r="K1279" s="175" t="s">
        <v>815</v>
      </c>
      <c r="N1279" s="106"/>
      <c r="O1279" s="106"/>
      <c r="P1279" s="106"/>
      <c r="Q1279" s="106"/>
      <c r="R1279" s="106"/>
      <c r="S1279" s="106"/>
    </row>
    <row r="1280" spans="1:19" s="105" customFormat="1" ht="37.5">
      <c r="A1280" s="106"/>
      <c r="B1280" s="194"/>
      <c r="C1280" s="139"/>
      <c r="D1280" s="140"/>
      <c r="E1280" s="139"/>
      <c r="F1280" s="139"/>
      <c r="G1280" s="140"/>
      <c r="H1280" s="139"/>
      <c r="I1280" s="141"/>
      <c r="J1280" s="142"/>
      <c r="K1280" s="175" t="s">
        <v>816</v>
      </c>
      <c r="N1280" s="106"/>
      <c r="O1280" s="106"/>
      <c r="P1280" s="106"/>
      <c r="Q1280" s="106"/>
      <c r="R1280" s="106"/>
      <c r="S1280" s="106"/>
    </row>
    <row r="1281" spans="1:19" s="105" customFormat="1" ht="37.5">
      <c r="A1281" s="106"/>
      <c r="B1281" s="194"/>
      <c r="C1281" s="139"/>
      <c r="D1281" s="140"/>
      <c r="E1281" s="139"/>
      <c r="F1281" s="139"/>
      <c r="G1281" s="140"/>
      <c r="H1281" s="139"/>
      <c r="I1281" s="141"/>
      <c r="J1281" s="142"/>
      <c r="K1281" s="175" t="s">
        <v>817</v>
      </c>
      <c r="N1281" s="106"/>
      <c r="O1281" s="106"/>
      <c r="P1281" s="106"/>
      <c r="Q1281" s="106"/>
      <c r="R1281" s="106"/>
      <c r="S1281" s="106"/>
    </row>
    <row r="1282" spans="1:19" s="105" customFormat="1" ht="37.5">
      <c r="A1282" s="106"/>
      <c r="B1282" s="194"/>
      <c r="C1282" s="139"/>
      <c r="D1282" s="140"/>
      <c r="E1282" s="139"/>
      <c r="F1282" s="139"/>
      <c r="G1282" s="140"/>
      <c r="H1282" s="139"/>
      <c r="I1282" s="141"/>
      <c r="J1282" s="142"/>
      <c r="K1282" s="175" t="s">
        <v>818</v>
      </c>
      <c r="N1282" s="106"/>
      <c r="O1282" s="106"/>
      <c r="P1282" s="106"/>
      <c r="Q1282" s="106"/>
      <c r="R1282" s="106"/>
      <c r="S1282" s="106"/>
    </row>
    <row r="1283" spans="1:19" s="105" customFormat="1" ht="56.25">
      <c r="A1283" s="106"/>
      <c r="B1283" s="194"/>
      <c r="C1283" s="139"/>
      <c r="D1283" s="140"/>
      <c r="E1283" s="139"/>
      <c r="F1283" s="139"/>
      <c r="G1283" s="140"/>
      <c r="H1283" s="139"/>
      <c r="I1283" s="141"/>
      <c r="J1283" s="142"/>
      <c r="K1283" s="175" t="s">
        <v>819</v>
      </c>
      <c r="N1283" s="106"/>
      <c r="O1283" s="106"/>
      <c r="P1283" s="106"/>
      <c r="Q1283" s="106"/>
      <c r="R1283" s="106"/>
      <c r="S1283" s="106"/>
    </row>
    <row r="1284" spans="1:19" s="105" customFormat="1" ht="37.5">
      <c r="A1284" s="106"/>
      <c r="B1284" s="194"/>
      <c r="C1284" s="139"/>
      <c r="D1284" s="140"/>
      <c r="E1284" s="139"/>
      <c r="F1284" s="139"/>
      <c r="G1284" s="140"/>
      <c r="H1284" s="139"/>
      <c r="I1284" s="141"/>
      <c r="J1284" s="142"/>
      <c r="K1284" s="175" t="s">
        <v>820</v>
      </c>
      <c r="N1284" s="106"/>
      <c r="O1284" s="106"/>
      <c r="P1284" s="106"/>
      <c r="Q1284" s="106"/>
      <c r="R1284" s="106"/>
      <c r="S1284" s="106"/>
    </row>
    <row r="1285" spans="1:19" s="105" customFormat="1" ht="37.5">
      <c r="A1285" s="106"/>
      <c r="B1285" s="194"/>
      <c r="C1285" s="139"/>
      <c r="D1285" s="140"/>
      <c r="E1285" s="139"/>
      <c r="F1285" s="139"/>
      <c r="G1285" s="140"/>
      <c r="H1285" s="139"/>
      <c r="I1285" s="141"/>
      <c r="J1285" s="142"/>
      <c r="K1285" s="175" t="s">
        <v>821</v>
      </c>
      <c r="N1285" s="106"/>
      <c r="O1285" s="106"/>
      <c r="P1285" s="106"/>
      <c r="Q1285" s="106"/>
      <c r="R1285" s="106"/>
      <c r="S1285" s="106"/>
    </row>
    <row r="1286" spans="1:19" s="105" customFormat="1" ht="37.5">
      <c r="A1286" s="106"/>
      <c r="B1286" s="194"/>
      <c r="C1286" s="139"/>
      <c r="D1286" s="140"/>
      <c r="E1286" s="139"/>
      <c r="F1286" s="139"/>
      <c r="G1286" s="140"/>
      <c r="H1286" s="139"/>
      <c r="I1286" s="141"/>
      <c r="J1286" s="142"/>
      <c r="K1286" s="175" t="s">
        <v>822</v>
      </c>
      <c r="N1286" s="106"/>
      <c r="O1286" s="106"/>
      <c r="P1286" s="106"/>
      <c r="Q1286" s="106"/>
      <c r="R1286" s="106"/>
      <c r="S1286" s="106"/>
    </row>
    <row r="1287" spans="1:19" s="105" customFormat="1" ht="37.5">
      <c r="A1287" s="106"/>
      <c r="B1287" s="194" t="s">
        <v>157</v>
      </c>
      <c r="C1287" s="139"/>
      <c r="D1287" s="140"/>
      <c r="E1287" s="139">
        <v>6.55</v>
      </c>
      <c r="F1287" s="139"/>
      <c r="G1287" s="140"/>
      <c r="H1287" s="139">
        <f>5.41+26.4115+9.5493+14.27485+25.82</f>
        <v>81.465650000000011</v>
      </c>
      <c r="I1287" s="141">
        <f t="shared" si="49"/>
        <v>74.915650000000014</v>
      </c>
      <c r="J1287" s="142">
        <f t="shared" ref="J1287:J1349" si="50">+I1287*100/H1287</f>
        <v>91.959801462334127</v>
      </c>
      <c r="K1287" s="175" t="s">
        <v>823</v>
      </c>
      <c r="N1287" s="106"/>
      <c r="O1287" s="106"/>
      <c r="P1287" s="106"/>
      <c r="Q1287" s="106"/>
      <c r="R1287" s="106"/>
      <c r="S1287" s="106"/>
    </row>
    <row r="1288" spans="1:19" s="105" customFormat="1" ht="56.25">
      <c r="A1288" s="106"/>
      <c r="B1288" s="194"/>
      <c r="C1288" s="139"/>
      <c r="D1288" s="140"/>
      <c r="E1288" s="139"/>
      <c r="F1288" s="139"/>
      <c r="G1288" s="140"/>
      <c r="H1288" s="139"/>
      <c r="I1288" s="141"/>
      <c r="J1288" s="142"/>
      <c r="K1288" s="175" t="s">
        <v>824</v>
      </c>
      <c r="N1288" s="106"/>
      <c r="O1288" s="106"/>
      <c r="P1288" s="106"/>
      <c r="Q1288" s="106"/>
      <c r="R1288" s="106"/>
      <c r="S1288" s="106"/>
    </row>
    <row r="1289" spans="1:19" s="105" customFormat="1" ht="37.5">
      <c r="A1289" s="106"/>
      <c r="B1289" s="194"/>
      <c r="C1289" s="139"/>
      <c r="D1289" s="140"/>
      <c r="E1289" s="139"/>
      <c r="F1289" s="139"/>
      <c r="G1289" s="140"/>
      <c r="H1289" s="139"/>
      <c r="I1289" s="141"/>
      <c r="J1289" s="142"/>
      <c r="K1289" s="175" t="s">
        <v>825</v>
      </c>
      <c r="N1289" s="106"/>
      <c r="O1289" s="106"/>
      <c r="P1289" s="106"/>
      <c r="Q1289" s="106"/>
      <c r="R1289" s="106"/>
      <c r="S1289" s="106"/>
    </row>
    <row r="1290" spans="1:19" s="105" customFormat="1" ht="56.25">
      <c r="A1290" s="106"/>
      <c r="B1290" s="194"/>
      <c r="C1290" s="139"/>
      <c r="D1290" s="140"/>
      <c r="E1290" s="139"/>
      <c r="F1290" s="139"/>
      <c r="G1290" s="140"/>
      <c r="H1290" s="139"/>
      <c r="I1290" s="141"/>
      <c r="J1290" s="142"/>
      <c r="K1290" s="175" t="s">
        <v>826</v>
      </c>
      <c r="N1290" s="106"/>
      <c r="O1290" s="106"/>
      <c r="P1290" s="106"/>
      <c r="Q1290" s="106"/>
      <c r="R1290" s="106"/>
      <c r="S1290" s="106"/>
    </row>
    <row r="1291" spans="1:19" s="105" customFormat="1" ht="37.5">
      <c r="A1291" s="106"/>
      <c r="B1291" s="194"/>
      <c r="C1291" s="139"/>
      <c r="D1291" s="140"/>
      <c r="E1291" s="139"/>
      <c r="F1291" s="139"/>
      <c r="G1291" s="140"/>
      <c r="H1291" s="139"/>
      <c r="I1291" s="141"/>
      <c r="J1291" s="142"/>
      <c r="K1291" s="175" t="s">
        <v>827</v>
      </c>
      <c r="N1291" s="106"/>
      <c r="O1291" s="106"/>
      <c r="P1291" s="106"/>
      <c r="Q1291" s="106"/>
      <c r="R1291" s="106"/>
      <c r="S1291" s="106"/>
    </row>
    <row r="1292" spans="1:19" s="105" customFormat="1" ht="37.5">
      <c r="A1292" s="106"/>
      <c r="B1292" s="194"/>
      <c r="C1292" s="139"/>
      <c r="D1292" s="140"/>
      <c r="E1292" s="139"/>
      <c r="F1292" s="139"/>
      <c r="G1292" s="140"/>
      <c r="H1292" s="139"/>
      <c r="I1292" s="141"/>
      <c r="J1292" s="142"/>
      <c r="K1292" s="175" t="s">
        <v>828</v>
      </c>
      <c r="N1292" s="106"/>
      <c r="O1292" s="106"/>
      <c r="P1292" s="106"/>
      <c r="Q1292" s="106"/>
      <c r="R1292" s="106"/>
      <c r="S1292" s="106"/>
    </row>
    <row r="1293" spans="1:19" s="105" customFormat="1" ht="56.25">
      <c r="A1293" s="106"/>
      <c r="B1293" s="194"/>
      <c r="C1293" s="139"/>
      <c r="D1293" s="140"/>
      <c r="E1293" s="139"/>
      <c r="F1293" s="139"/>
      <c r="G1293" s="140"/>
      <c r="H1293" s="139"/>
      <c r="I1293" s="141"/>
      <c r="J1293" s="142"/>
      <c r="K1293" s="175" t="s">
        <v>829</v>
      </c>
      <c r="N1293" s="106"/>
      <c r="O1293" s="106"/>
      <c r="P1293" s="106"/>
      <c r="Q1293" s="106"/>
      <c r="R1293" s="106"/>
      <c r="S1293" s="106"/>
    </row>
    <row r="1294" spans="1:19" s="105" customFormat="1" ht="56.25">
      <c r="A1294" s="106"/>
      <c r="B1294" s="194"/>
      <c r="C1294" s="139"/>
      <c r="D1294" s="140"/>
      <c r="E1294" s="139"/>
      <c r="F1294" s="139"/>
      <c r="G1294" s="140"/>
      <c r="H1294" s="139"/>
      <c r="I1294" s="141"/>
      <c r="J1294" s="142"/>
      <c r="K1294" s="175" t="s">
        <v>830</v>
      </c>
      <c r="N1294" s="106"/>
      <c r="O1294" s="106"/>
      <c r="P1294" s="106"/>
      <c r="Q1294" s="106"/>
      <c r="R1294" s="106"/>
      <c r="S1294" s="106"/>
    </row>
    <row r="1295" spans="1:19" s="105" customFormat="1" ht="56.25">
      <c r="A1295" s="106"/>
      <c r="B1295" s="194"/>
      <c r="C1295" s="139"/>
      <c r="D1295" s="140"/>
      <c r="E1295" s="139"/>
      <c r="F1295" s="139"/>
      <c r="G1295" s="140"/>
      <c r="H1295" s="139"/>
      <c r="I1295" s="141"/>
      <c r="J1295" s="142"/>
      <c r="K1295" s="175" t="s">
        <v>831</v>
      </c>
      <c r="N1295" s="106"/>
      <c r="O1295" s="106"/>
      <c r="P1295" s="106"/>
      <c r="Q1295" s="106"/>
      <c r="R1295" s="106"/>
      <c r="S1295" s="106"/>
    </row>
    <row r="1296" spans="1:19" s="105" customFormat="1" ht="37.5">
      <c r="A1296" s="106"/>
      <c r="B1296" s="194"/>
      <c r="C1296" s="139"/>
      <c r="D1296" s="140"/>
      <c r="E1296" s="139"/>
      <c r="F1296" s="139"/>
      <c r="G1296" s="140"/>
      <c r="H1296" s="139"/>
      <c r="I1296" s="141"/>
      <c r="J1296" s="142"/>
      <c r="K1296" s="175" t="s">
        <v>832</v>
      </c>
      <c r="N1296" s="106"/>
      <c r="O1296" s="106"/>
      <c r="P1296" s="106"/>
      <c r="Q1296" s="106"/>
      <c r="R1296" s="106"/>
      <c r="S1296" s="106"/>
    </row>
    <row r="1297" spans="1:19" s="105" customFormat="1" ht="37.5">
      <c r="A1297" s="106"/>
      <c r="B1297" s="194"/>
      <c r="C1297" s="139"/>
      <c r="D1297" s="140"/>
      <c r="E1297" s="139"/>
      <c r="F1297" s="139"/>
      <c r="G1297" s="140"/>
      <c r="H1297" s="139"/>
      <c r="I1297" s="141"/>
      <c r="J1297" s="142"/>
      <c r="K1297" s="175" t="s">
        <v>833</v>
      </c>
      <c r="N1297" s="106"/>
      <c r="O1297" s="106"/>
      <c r="P1297" s="106"/>
      <c r="Q1297" s="106"/>
      <c r="R1297" s="106"/>
      <c r="S1297" s="106"/>
    </row>
    <row r="1298" spans="1:19" s="105" customFormat="1" ht="37.5">
      <c r="A1298" s="106"/>
      <c r="B1298" s="194"/>
      <c r="C1298" s="139"/>
      <c r="D1298" s="140"/>
      <c r="E1298" s="139"/>
      <c r="F1298" s="139"/>
      <c r="G1298" s="140"/>
      <c r="H1298" s="139"/>
      <c r="I1298" s="141"/>
      <c r="J1298" s="142"/>
      <c r="K1298" s="175" t="s">
        <v>834</v>
      </c>
      <c r="N1298" s="106"/>
      <c r="O1298" s="106"/>
      <c r="P1298" s="106"/>
      <c r="Q1298" s="106"/>
      <c r="R1298" s="106"/>
      <c r="S1298" s="106"/>
    </row>
    <row r="1299" spans="1:19" s="105" customFormat="1" ht="56.25">
      <c r="A1299" s="106"/>
      <c r="B1299" s="194"/>
      <c r="C1299" s="139"/>
      <c r="D1299" s="140"/>
      <c r="E1299" s="139"/>
      <c r="F1299" s="139"/>
      <c r="G1299" s="140"/>
      <c r="H1299" s="139"/>
      <c r="I1299" s="141"/>
      <c r="J1299" s="142"/>
      <c r="K1299" s="175" t="s">
        <v>835</v>
      </c>
      <c r="N1299" s="106"/>
      <c r="O1299" s="106"/>
      <c r="P1299" s="106"/>
      <c r="Q1299" s="106"/>
      <c r="R1299" s="106"/>
      <c r="S1299" s="106"/>
    </row>
    <row r="1300" spans="1:19" s="105" customFormat="1" ht="56.25">
      <c r="A1300" s="106"/>
      <c r="B1300" s="194"/>
      <c r="C1300" s="139"/>
      <c r="D1300" s="140"/>
      <c r="E1300" s="139"/>
      <c r="F1300" s="139"/>
      <c r="G1300" s="140"/>
      <c r="H1300" s="139"/>
      <c r="I1300" s="141"/>
      <c r="J1300" s="142"/>
      <c r="K1300" s="175" t="s">
        <v>836</v>
      </c>
      <c r="N1300" s="106"/>
      <c r="O1300" s="106"/>
      <c r="P1300" s="106"/>
      <c r="Q1300" s="106"/>
      <c r="R1300" s="106"/>
      <c r="S1300" s="106"/>
    </row>
    <row r="1301" spans="1:19" s="105" customFormat="1" ht="37.5">
      <c r="A1301" s="106"/>
      <c r="B1301" s="194"/>
      <c r="C1301" s="139"/>
      <c r="D1301" s="140"/>
      <c r="E1301" s="139"/>
      <c r="F1301" s="139"/>
      <c r="G1301" s="140"/>
      <c r="H1301" s="139"/>
      <c r="I1301" s="141"/>
      <c r="J1301" s="142"/>
      <c r="K1301" s="175" t="s">
        <v>837</v>
      </c>
      <c r="N1301" s="106"/>
      <c r="O1301" s="106"/>
      <c r="P1301" s="106"/>
      <c r="Q1301" s="106"/>
      <c r="R1301" s="106"/>
      <c r="S1301" s="106"/>
    </row>
    <row r="1302" spans="1:19" s="105" customFormat="1" ht="37.5">
      <c r="A1302" s="106"/>
      <c r="B1302" s="194"/>
      <c r="C1302" s="139"/>
      <c r="D1302" s="140"/>
      <c r="E1302" s="139"/>
      <c r="F1302" s="139"/>
      <c r="G1302" s="140"/>
      <c r="H1302" s="139"/>
      <c r="I1302" s="141"/>
      <c r="J1302" s="142"/>
      <c r="K1302" s="175" t="s">
        <v>838</v>
      </c>
      <c r="N1302" s="106"/>
      <c r="O1302" s="106"/>
      <c r="P1302" s="106"/>
      <c r="Q1302" s="106"/>
      <c r="R1302" s="106"/>
      <c r="S1302" s="106"/>
    </row>
    <row r="1303" spans="1:19" s="105" customFormat="1" ht="56.25">
      <c r="A1303" s="106"/>
      <c r="B1303" s="194"/>
      <c r="C1303" s="139"/>
      <c r="D1303" s="140"/>
      <c r="E1303" s="139"/>
      <c r="F1303" s="139"/>
      <c r="G1303" s="140"/>
      <c r="H1303" s="139"/>
      <c r="I1303" s="141"/>
      <c r="J1303" s="142"/>
      <c r="K1303" s="175" t="s">
        <v>839</v>
      </c>
      <c r="N1303" s="106"/>
      <c r="O1303" s="106"/>
      <c r="P1303" s="106"/>
      <c r="Q1303" s="106"/>
      <c r="R1303" s="106"/>
      <c r="S1303" s="106"/>
    </row>
    <row r="1304" spans="1:19" s="105" customFormat="1" ht="37.5">
      <c r="A1304" s="106"/>
      <c r="B1304" s="194"/>
      <c r="C1304" s="139"/>
      <c r="D1304" s="140"/>
      <c r="E1304" s="139"/>
      <c r="F1304" s="139"/>
      <c r="G1304" s="140"/>
      <c r="H1304" s="139"/>
      <c r="I1304" s="141"/>
      <c r="J1304" s="142"/>
      <c r="K1304" s="175" t="s">
        <v>840</v>
      </c>
      <c r="N1304" s="106"/>
      <c r="O1304" s="106"/>
      <c r="P1304" s="106"/>
      <c r="Q1304" s="106"/>
      <c r="R1304" s="106"/>
      <c r="S1304" s="106"/>
    </row>
    <row r="1305" spans="1:19" s="105" customFormat="1" ht="37.5">
      <c r="A1305" s="106"/>
      <c r="B1305" s="194"/>
      <c r="C1305" s="139"/>
      <c r="D1305" s="140"/>
      <c r="E1305" s="139"/>
      <c r="F1305" s="139"/>
      <c r="G1305" s="140"/>
      <c r="H1305" s="139"/>
      <c r="I1305" s="141"/>
      <c r="J1305" s="142"/>
      <c r="K1305" s="175" t="s">
        <v>841</v>
      </c>
      <c r="N1305" s="106"/>
      <c r="O1305" s="106"/>
      <c r="P1305" s="106"/>
      <c r="Q1305" s="106"/>
      <c r="R1305" s="106"/>
      <c r="S1305" s="106"/>
    </row>
    <row r="1306" spans="1:19" s="105" customFormat="1" ht="37.5">
      <c r="A1306" s="106"/>
      <c r="B1306" s="194"/>
      <c r="C1306" s="139"/>
      <c r="D1306" s="140"/>
      <c r="E1306" s="139"/>
      <c r="F1306" s="139"/>
      <c r="G1306" s="140"/>
      <c r="H1306" s="139"/>
      <c r="I1306" s="141"/>
      <c r="J1306" s="142"/>
      <c r="K1306" s="175" t="s">
        <v>842</v>
      </c>
      <c r="N1306" s="106"/>
      <c r="O1306" s="106"/>
      <c r="P1306" s="106"/>
      <c r="Q1306" s="106"/>
      <c r="R1306" s="106"/>
      <c r="S1306" s="106"/>
    </row>
    <row r="1307" spans="1:19" s="105" customFormat="1" ht="56.25">
      <c r="A1307" s="106"/>
      <c r="B1307" s="194"/>
      <c r="C1307" s="139"/>
      <c r="D1307" s="140"/>
      <c r="E1307" s="139"/>
      <c r="F1307" s="139"/>
      <c r="G1307" s="140"/>
      <c r="H1307" s="139"/>
      <c r="I1307" s="141"/>
      <c r="J1307" s="142"/>
      <c r="K1307" s="175" t="s">
        <v>843</v>
      </c>
      <c r="N1307" s="106"/>
      <c r="O1307" s="106"/>
      <c r="P1307" s="106"/>
      <c r="Q1307" s="106"/>
      <c r="R1307" s="106"/>
      <c r="S1307" s="106"/>
    </row>
    <row r="1308" spans="1:19" s="105" customFormat="1" ht="75">
      <c r="A1308" s="106"/>
      <c r="B1308" s="194"/>
      <c r="C1308" s="139"/>
      <c r="D1308" s="140"/>
      <c r="E1308" s="139"/>
      <c r="F1308" s="139"/>
      <c r="G1308" s="140"/>
      <c r="H1308" s="139"/>
      <c r="I1308" s="141"/>
      <c r="J1308" s="142"/>
      <c r="K1308" s="175" t="s">
        <v>844</v>
      </c>
      <c r="N1308" s="106"/>
      <c r="O1308" s="106"/>
      <c r="P1308" s="106"/>
      <c r="Q1308" s="106"/>
      <c r="R1308" s="106"/>
      <c r="S1308" s="106"/>
    </row>
    <row r="1309" spans="1:19" s="105" customFormat="1" ht="56.25">
      <c r="A1309" s="106"/>
      <c r="B1309" s="194"/>
      <c r="C1309" s="139"/>
      <c r="D1309" s="140"/>
      <c r="E1309" s="139"/>
      <c r="F1309" s="139"/>
      <c r="G1309" s="140"/>
      <c r="H1309" s="139"/>
      <c r="I1309" s="141"/>
      <c r="J1309" s="142"/>
      <c r="K1309" s="175" t="s">
        <v>845</v>
      </c>
      <c r="N1309" s="106"/>
      <c r="O1309" s="106"/>
      <c r="P1309" s="106"/>
      <c r="Q1309" s="106"/>
      <c r="R1309" s="106"/>
      <c r="S1309" s="106"/>
    </row>
    <row r="1310" spans="1:19" s="105" customFormat="1" ht="56.25">
      <c r="A1310" s="106"/>
      <c r="B1310" s="194"/>
      <c r="C1310" s="139"/>
      <c r="D1310" s="140"/>
      <c r="E1310" s="139"/>
      <c r="F1310" s="139"/>
      <c r="G1310" s="140"/>
      <c r="H1310" s="139"/>
      <c r="I1310" s="141"/>
      <c r="J1310" s="142"/>
      <c r="K1310" s="175" t="s">
        <v>846</v>
      </c>
      <c r="N1310" s="106"/>
      <c r="O1310" s="106"/>
      <c r="P1310" s="106"/>
      <c r="Q1310" s="106"/>
      <c r="R1310" s="106"/>
      <c r="S1310" s="106"/>
    </row>
    <row r="1311" spans="1:19" s="105" customFormat="1" ht="56.25">
      <c r="A1311" s="106"/>
      <c r="B1311" s="194"/>
      <c r="C1311" s="139"/>
      <c r="D1311" s="140"/>
      <c r="E1311" s="139"/>
      <c r="F1311" s="139"/>
      <c r="G1311" s="140"/>
      <c r="H1311" s="139"/>
      <c r="I1311" s="141"/>
      <c r="J1311" s="142"/>
      <c r="K1311" s="175" t="s">
        <v>847</v>
      </c>
      <c r="N1311" s="106"/>
      <c r="O1311" s="106"/>
      <c r="P1311" s="106"/>
      <c r="Q1311" s="106"/>
      <c r="R1311" s="106"/>
      <c r="S1311" s="106"/>
    </row>
    <row r="1312" spans="1:19" s="105" customFormat="1" ht="37.5">
      <c r="A1312" s="106"/>
      <c r="B1312" s="194"/>
      <c r="C1312" s="139"/>
      <c r="D1312" s="140"/>
      <c r="E1312" s="139"/>
      <c r="F1312" s="139"/>
      <c r="G1312" s="140"/>
      <c r="H1312" s="139"/>
      <c r="I1312" s="141"/>
      <c r="J1312" s="142"/>
      <c r="K1312" s="175" t="s">
        <v>848</v>
      </c>
      <c r="N1312" s="106"/>
      <c r="O1312" s="106"/>
      <c r="P1312" s="106"/>
      <c r="Q1312" s="106"/>
      <c r="R1312" s="106"/>
      <c r="S1312" s="106"/>
    </row>
    <row r="1313" spans="1:19" s="105" customFormat="1" ht="75">
      <c r="A1313" s="106"/>
      <c r="B1313" s="194"/>
      <c r="C1313" s="139"/>
      <c r="D1313" s="140"/>
      <c r="E1313" s="139"/>
      <c r="F1313" s="139"/>
      <c r="G1313" s="140"/>
      <c r="H1313" s="139"/>
      <c r="I1313" s="141"/>
      <c r="J1313" s="142"/>
      <c r="K1313" s="175" t="s">
        <v>849</v>
      </c>
      <c r="N1313" s="106"/>
      <c r="O1313" s="106"/>
      <c r="P1313" s="106"/>
      <c r="Q1313" s="106"/>
      <c r="R1313" s="106"/>
      <c r="S1313" s="106"/>
    </row>
    <row r="1314" spans="1:19" s="105" customFormat="1" ht="75">
      <c r="A1314" s="106"/>
      <c r="B1314" s="194"/>
      <c r="C1314" s="139"/>
      <c r="D1314" s="140"/>
      <c r="E1314" s="139"/>
      <c r="F1314" s="139"/>
      <c r="G1314" s="140"/>
      <c r="H1314" s="139"/>
      <c r="I1314" s="141"/>
      <c r="J1314" s="142"/>
      <c r="K1314" s="175" t="s">
        <v>850</v>
      </c>
      <c r="N1314" s="106"/>
      <c r="O1314" s="106"/>
      <c r="P1314" s="106"/>
      <c r="Q1314" s="106"/>
      <c r="R1314" s="106"/>
      <c r="S1314" s="106"/>
    </row>
    <row r="1315" spans="1:19" s="105" customFormat="1" ht="56.25">
      <c r="A1315" s="106"/>
      <c r="B1315" s="194"/>
      <c r="C1315" s="139"/>
      <c r="D1315" s="140"/>
      <c r="E1315" s="139"/>
      <c r="F1315" s="139"/>
      <c r="G1315" s="140"/>
      <c r="H1315" s="139"/>
      <c r="I1315" s="141"/>
      <c r="J1315" s="142"/>
      <c r="K1315" s="175" t="s">
        <v>851</v>
      </c>
      <c r="N1315" s="106"/>
      <c r="O1315" s="106"/>
      <c r="P1315" s="106"/>
      <c r="Q1315" s="106"/>
      <c r="R1315" s="106"/>
      <c r="S1315" s="106"/>
    </row>
    <row r="1316" spans="1:19" s="105" customFormat="1">
      <c r="A1316" s="106"/>
      <c r="B1316" s="194" t="s">
        <v>165</v>
      </c>
      <c r="C1316" s="139"/>
      <c r="D1316" s="140"/>
      <c r="E1316" s="139">
        <v>0.06</v>
      </c>
      <c r="F1316" s="139"/>
      <c r="G1316" s="140"/>
      <c r="H1316" s="139"/>
      <c r="I1316" s="141">
        <f t="shared" ref="I1316:I1359" si="51">+H1316-E1316</f>
        <v>-0.06</v>
      </c>
      <c r="J1316" s="142">
        <v>0</v>
      </c>
      <c r="K1316" s="143"/>
      <c r="N1316" s="106"/>
      <c r="O1316" s="106"/>
      <c r="P1316" s="106"/>
      <c r="Q1316" s="106"/>
      <c r="R1316" s="106"/>
      <c r="S1316" s="106"/>
    </row>
    <row r="1317" spans="1:19" s="105" customFormat="1">
      <c r="A1317" s="106"/>
      <c r="B1317" s="194" t="s">
        <v>166</v>
      </c>
      <c r="C1317" s="139"/>
      <c r="D1317" s="140"/>
      <c r="E1317" s="139">
        <v>0.2</v>
      </c>
      <c r="F1317" s="139"/>
      <c r="G1317" s="140"/>
      <c r="H1317" s="139">
        <f>2+1.979+2.4875+0.1094-0.5</f>
        <v>6.0758999999999999</v>
      </c>
      <c r="I1317" s="141">
        <f t="shared" si="51"/>
        <v>5.8758999999999997</v>
      </c>
      <c r="J1317" s="142">
        <f t="shared" si="50"/>
        <v>96.708306588324348</v>
      </c>
      <c r="K1317" s="143" t="s">
        <v>852</v>
      </c>
      <c r="N1317" s="106"/>
      <c r="O1317" s="106"/>
      <c r="P1317" s="106"/>
      <c r="Q1317" s="106"/>
      <c r="R1317" s="106"/>
      <c r="S1317" s="106"/>
    </row>
    <row r="1318" spans="1:19" s="105" customFormat="1">
      <c r="A1318" s="106"/>
      <c r="B1318" s="194"/>
      <c r="C1318" s="139"/>
      <c r="D1318" s="140"/>
      <c r="E1318" s="139"/>
      <c r="F1318" s="139"/>
      <c r="G1318" s="140"/>
      <c r="H1318" s="139"/>
      <c r="I1318" s="141"/>
      <c r="J1318" s="142"/>
      <c r="K1318" s="143" t="s">
        <v>853</v>
      </c>
      <c r="N1318" s="106"/>
      <c r="O1318" s="106"/>
      <c r="P1318" s="106"/>
      <c r="Q1318" s="106"/>
      <c r="R1318" s="106"/>
      <c r="S1318" s="106"/>
    </row>
    <row r="1319" spans="1:19" s="105" customFormat="1">
      <c r="A1319" s="106"/>
      <c r="B1319" s="194"/>
      <c r="C1319" s="139"/>
      <c r="D1319" s="140"/>
      <c r="E1319" s="139"/>
      <c r="F1319" s="139"/>
      <c r="G1319" s="140"/>
      <c r="H1319" s="139"/>
      <c r="I1319" s="141"/>
      <c r="J1319" s="142"/>
      <c r="K1319" s="143" t="s">
        <v>854</v>
      </c>
      <c r="N1319" s="106"/>
      <c r="O1319" s="106"/>
      <c r="P1319" s="106"/>
      <c r="Q1319" s="106"/>
      <c r="R1319" s="106"/>
      <c r="S1319" s="106"/>
    </row>
    <row r="1320" spans="1:19" s="105" customFormat="1">
      <c r="A1320" s="106"/>
      <c r="B1320" s="194"/>
      <c r="C1320" s="139"/>
      <c r="D1320" s="140"/>
      <c r="E1320" s="139"/>
      <c r="F1320" s="139"/>
      <c r="G1320" s="140"/>
      <c r="H1320" s="139"/>
      <c r="I1320" s="141"/>
      <c r="J1320" s="142"/>
      <c r="K1320" s="143" t="s">
        <v>855</v>
      </c>
      <c r="N1320" s="106"/>
      <c r="O1320" s="106"/>
      <c r="P1320" s="106"/>
      <c r="Q1320" s="106"/>
      <c r="R1320" s="106"/>
      <c r="S1320" s="106"/>
    </row>
    <row r="1321" spans="1:19" s="105" customFormat="1">
      <c r="A1321" s="106"/>
      <c r="B1321" s="194"/>
      <c r="C1321" s="139"/>
      <c r="D1321" s="140"/>
      <c r="E1321" s="139"/>
      <c r="F1321" s="139"/>
      <c r="G1321" s="140"/>
      <c r="H1321" s="139"/>
      <c r="I1321" s="141"/>
      <c r="J1321" s="142"/>
      <c r="K1321" s="143" t="s">
        <v>856</v>
      </c>
      <c r="N1321" s="106"/>
      <c r="O1321" s="106"/>
      <c r="P1321" s="106"/>
      <c r="Q1321" s="106"/>
      <c r="R1321" s="106"/>
      <c r="S1321" s="106"/>
    </row>
    <row r="1322" spans="1:19" s="105" customFormat="1" ht="37.5">
      <c r="A1322" s="106"/>
      <c r="B1322" s="194"/>
      <c r="C1322" s="139"/>
      <c r="D1322" s="140"/>
      <c r="E1322" s="139"/>
      <c r="F1322" s="139"/>
      <c r="G1322" s="140"/>
      <c r="H1322" s="139"/>
      <c r="I1322" s="141"/>
      <c r="J1322" s="142"/>
      <c r="K1322" s="175" t="s">
        <v>857</v>
      </c>
      <c r="N1322" s="106"/>
      <c r="O1322" s="106"/>
      <c r="P1322" s="106"/>
      <c r="Q1322" s="106"/>
      <c r="R1322" s="106"/>
      <c r="S1322" s="106"/>
    </row>
    <row r="1323" spans="1:19" s="105" customFormat="1" ht="37.5">
      <c r="A1323" s="106"/>
      <c r="B1323" s="194"/>
      <c r="C1323" s="139"/>
      <c r="D1323" s="140"/>
      <c r="E1323" s="139"/>
      <c r="F1323" s="139"/>
      <c r="G1323" s="140"/>
      <c r="H1323" s="139"/>
      <c r="I1323" s="141"/>
      <c r="J1323" s="142"/>
      <c r="K1323" s="175" t="s">
        <v>858</v>
      </c>
      <c r="N1323" s="106"/>
      <c r="O1323" s="106"/>
      <c r="P1323" s="106"/>
      <c r="Q1323" s="106"/>
      <c r="R1323" s="106"/>
      <c r="S1323" s="106"/>
    </row>
    <row r="1324" spans="1:19" s="105" customFormat="1" ht="37.5">
      <c r="A1324" s="106"/>
      <c r="B1324" s="194"/>
      <c r="C1324" s="139"/>
      <c r="D1324" s="140"/>
      <c r="E1324" s="139"/>
      <c r="F1324" s="139"/>
      <c r="G1324" s="140"/>
      <c r="H1324" s="139"/>
      <c r="I1324" s="141"/>
      <c r="J1324" s="142"/>
      <c r="K1324" s="175" t="s">
        <v>859</v>
      </c>
      <c r="N1324" s="106"/>
      <c r="O1324" s="106"/>
      <c r="P1324" s="106"/>
      <c r="Q1324" s="106"/>
      <c r="R1324" s="106"/>
      <c r="S1324" s="106"/>
    </row>
    <row r="1325" spans="1:19" s="105" customFormat="1" ht="37.5">
      <c r="A1325" s="106"/>
      <c r="B1325" s="194"/>
      <c r="C1325" s="139"/>
      <c r="D1325" s="140"/>
      <c r="E1325" s="139"/>
      <c r="F1325" s="139"/>
      <c r="G1325" s="140"/>
      <c r="H1325" s="139"/>
      <c r="I1325" s="141"/>
      <c r="J1325" s="142"/>
      <c r="K1325" s="175" t="s">
        <v>860</v>
      </c>
      <c r="N1325" s="106"/>
      <c r="O1325" s="106"/>
      <c r="P1325" s="106"/>
      <c r="Q1325" s="106"/>
      <c r="R1325" s="106"/>
      <c r="S1325" s="106"/>
    </row>
    <row r="1326" spans="1:19" s="105" customFormat="1" ht="37.5">
      <c r="A1326" s="106"/>
      <c r="B1326" s="194"/>
      <c r="C1326" s="139"/>
      <c r="D1326" s="140"/>
      <c r="E1326" s="139"/>
      <c r="F1326" s="139"/>
      <c r="G1326" s="140"/>
      <c r="H1326" s="139"/>
      <c r="I1326" s="141"/>
      <c r="J1326" s="142"/>
      <c r="K1326" s="175" t="s">
        <v>861</v>
      </c>
      <c r="N1326" s="106"/>
      <c r="O1326" s="106"/>
      <c r="P1326" s="106"/>
      <c r="Q1326" s="106"/>
      <c r="R1326" s="106"/>
      <c r="S1326" s="106"/>
    </row>
    <row r="1327" spans="1:19" s="105" customFormat="1" ht="37.5">
      <c r="A1327" s="106"/>
      <c r="B1327" s="194"/>
      <c r="C1327" s="139"/>
      <c r="D1327" s="140"/>
      <c r="E1327" s="139"/>
      <c r="F1327" s="139"/>
      <c r="G1327" s="140"/>
      <c r="H1327" s="139"/>
      <c r="I1327" s="141"/>
      <c r="J1327" s="142"/>
      <c r="K1327" s="175" t="s">
        <v>862</v>
      </c>
      <c r="N1327" s="106"/>
      <c r="O1327" s="106"/>
      <c r="P1327" s="106"/>
      <c r="Q1327" s="106"/>
      <c r="R1327" s="106"/>
      <c r="S1327" s="106"/>
    </row>
    <row r="1328" spans="1:19" s="105" customFormat="1" ht="37.5">
      <c r="A1328" s="106"/>
      <c r="B1328" s="194"/>
      <c r="C1328" s="139"/>
      <c r="D1328" s="140"/>
      <c r="E1328" s="139"/>
      <c r="F1328" s="139"/>
      <c r="G1328" s="140"/>
      <c r="H1328" s="139"/>
      <c r="I1328" s="141"/>
      <c r="J1328" s="142"/>
      <c r="K1328" s="175" t="s">
        <v>863</v>
      </c>
      <c r="N1328" s="106"/>
      <c r="O1328" s="106"/>
      <c r="P1328" s="106"/>
      <c r="Q1328" s="106"/>
      <c r="R1328" s="106"/>
      <c r="S1328" s="106"/>
    </row>
    <row r="1329" spans="1:19" s="105" customFormat="1" ht="37.5">
      <c r="A1329" s="106"/>
      <c r="B1329" s="194"/>
      <c r="C1329" s="139"/>
      <c r="D1329" s="140"/>
      <c r="E1329" s="139"/>
      <c r="F1329" s="139"/>
      <c r="G1329" s="140"/>
      <c r="H1329" s="139"/>
      <c r="I1329" s="141"/>
      <c r="J1329" s="142"/>
      <c r="K1329" s="175" t="s">
        <v>864</v>
      </c>
      <c r="N1329" s="106"/>
      <c r="O1329" s="106"/>
      <c r="P1329" s="106"/>
      <c r="Q1329" s="106"/>
      <c r="R1329" s="106"/>
      <c r="S1329" s="106"/>
    </row>
    <row r="1330" spans="1:19" s="105" customFormat="1" ht="56.25">
      <c r="A1330" s="106"/>
      <c r="B1330" s="194" t="s">
        <v>1023</v>
      </c>
      <c r="C1330" s="139"/>
      <c r="D1330" s="140"/>
      <c r="E1330" s="139">
        <v>85.18</v>
      </c>
      <c r="F1330" s="139"/>
      <c r="G1330" s="140"/>
      <c r="H1330" s="139">
        <v>3.85</v>
      </c>
      <c r="I1330" s="141">
        <f t="shared" si="51"/>
        <v>-81.330000000000013</v>
      </c>
      <c r="J1330" s="142">
        <f t="shared" si="50"/>
        <v>-2112.4675324675327</v>
      </c>
      <c r="K1330" s="175" t="s">
        <v>865</v>
      </c>
      <c r="N1330" s="106"/>
      <c r="O1330" s="106"/>
      <c r="P1330" s="106"/>
      <c r="Q1330" s="106"/>
      <c r="R1330" s="106"/>
      <c r="S1330" s="106"/>
    </row>
    <row r="1331" spans="1:19" s="105" customFormat="1" ht="75">
      <c r="A1331" s="106"/>
      <c r="B1331" s="194" t="s">
        <v>866</v>
      </c>
      <c r="C1331" s="139"/>
      <c r="D1331" s="140"/>
      <c r="E1331" s="139"/>
      <c r="F1331" s="139"/>
      <c r="G1331" s="140"/>
      <c r="H1331" s="139">
        <v>4.3776000000000002</v>
      </c>
      <c r="I1331" s="141">
        <f t="shared" si="51"/>
        <v>4.3776000000000002</v>
      </c>
      <c r="J1331" s="142">
        <f t="shared" si="50"/>
        <v>100</v>
      </c>
      <c r="K1331" s="175" t="s">
        <v>867</v>
      </c>
      <c r="N1331" s="106"/>
      <c r="O1331" s="106"/>
      <c r="P1331" s="106"/>
      <c r="Q1331" s="106"/>
      <c r="R1331" s="106"/>
      <c r="S1331" s="106"/>
    </row>
    <row r="1332" spans="1:19" s="105" customFormat="1" ht="56.25">
      <c r="A1332" s="106"/>
      <c r="B1332" s="194" t="s">
        <v>868</v>
      </c>
      <c r="C1332" s="139"/>
      <c r="D1332" s="140"/>
      <c r="E1332" s="139"/>
      <c r="F1332" s="139"/>
      <c r="G1332" s="140"/>
      <c r="H1332" s="139">
        <v>41.62</v>
      </c>
      <c r="I1332" s="141">
        <f t="shared" si="51"/>
        <v>41.62</v>
      </c>
      <c r="J1332" s="142">
        <f t="shared" si="50"/>
        <v>100</v>
      </c>
      <c r="K1332" s="175" t="s">
        <v>869</v>
      </c>
      <c r="N1332" s="106"/>
      <c r="O1332" s="106"/>
      <c r="P1332" s="106"/>
      <c r="Q1332" s="106"/>
      <c r="R1332" s="106"/>
      <c r="S1332" s="106"/>
    </row>
    <row r="1333" spans="1:19" s="105" customFormat="1" ht="75">
      <c r="A1333" s="106"/>
      <c r="B1333" s="194"/>
      <c r="C1333" s="139"/>
      <c r="D1333" s="140"/>
      <c r="E1333" s="139"/>
      <c r="F1333" s="139"/>
      <c r="G1333" s="140"/>
      <c r="H1333" s="139"/>
      <c r="I1333" s="141"/>
      <c r="J1333" s="142"/>
      <c r="K1333" s="175" t="s">
        <v>870</v>
      </c>
      <c r="N1333" s="106"/>
      <c r="O1333" s="106"/>
      <c r="P1333" s="106"/>
      <c r="Q1333" s="106"/>
      <c r="R1333" s="106"/>
      <c r="S1333" s="106"/>
    </row>
    <row r="1334" spans="1:19" s="105" customFormat="1" ht="56.25">
      <c r="A1334" s="106"/>
      <c r="B1334" s="194"/>
      <c r="C1334" s="139"/>
      <c r="D1334" s="140"/>
      <c r="E1334" s="139"/>
      <c r="F1334" s="139"/>
      <c r="G1334" s="140"/>
      <c r="H1334" s="139"/>
      <c r="I1334" s="141"/>
      <c r="J1334" s="142"/>
      <c r="K1334" s="175" t="s">
        <v>871</v>
      </c>
      <c r="N1334" s="106"/>
      <c r="O1334" s="106"/>
      <c r="P1334" s="106"/>
      <c r="Q1334" s="106"/>
      <c r="R1334" s="106"/>
      <c r="S1334" s="106"/>
    </row>
    <row r="1335" spans="1:19" s="105" customFormat="1" ht="56.25">
      <c r="A1335" s="106"/>
      <c r="B1335" s="194"/>
      <c r="C1335" s="139"/>
      <c r="D1335" s="140"/>
      <c r="E1335" s="139"/>
      <c r="F1335" s="139"/>
      <c r="G1335" s="140"/>
      <c r="H1335" s="139"/>
      <c r="I1335" s="141"/>
      <c r="J1335" s="142"/>
      <c r="K1335" s="175" t="s">
        <v>872</v>
      </c>
      <c r="N1335" s="106"/>
      <c r="O1335" s="106"/>
      <c r="P1335" s="106"/>
      <c r="Q1335" s="106"/>
      <c r="R1335" s="106"/>
      <c r="S1335" s="106"/>
    </row>
    <row r="1336" spans="1:19" s="105" customFormat="1" ht="40.5">
      <c r="A1336" s="106"/>
      <c r="B1336" s="175" t="s">
        <v>69</v>
      </c>
      <c r="C1336" s="139"/>
      <c r="D1336" s="140"/>
      <c r="E1336" s="139"/>
      <c r="F1336" s="139"/>
      <c r="G1336" s="140"/>
      <c r="H1336" s="139">
        <f>SUM(H1339:H1343)</f>
        <v>24.119999999999997</v>
      </c>
      <c r="I1336" s="141">
        <f t="shared" si="51"/>
        <v>24.119999999999997</v>
      </c>
      <c r="J1336" s="142">
        <f t="shared" si="50"/>
        <v>99.999999999999986</v>
      </c>
      <c r="K1336" s="143"/>
      <c r="N1336" s="106"/>
      <c r="O1336" s="106"/>
      <c r="P1336" s="106"/>
      <c r="Q1336" s="106"/>
      <c r="R1336" s="106"/>
      <c r="S1336" s="106"/>
    </row>
    <row r="1337" spans="1:19" s="105" customFormat="1">
      <c r="A1337" s="106"/>
      <c r="B1337" s="194" t="s">
        <v>2</v>
      </c>
      <c r="C1337" s="139"/>
      <c r="D1337" s="140"/>
      <c r="E1337" s="139"/>
      <c r="F1337" s="139"/>
      <c r="G1337" s="140"/>
      <c r="H1337" s="139"/>
      <c r="I1337" s="141"/>
      <c r="J1337" s="142"/>
      <c r="K1337" s="143"/>
      <c r="N1337" s="106"/>
      <c r="O1337" s="106"/>
      <c r="P1337" s="106"/>
      <c r="Q1337" s="106"/>
      <c r="R1337" s="106"/>
      <c r="S1337" s="106"/>
    </row>
    <row r="1338" spans="1:19" s="105" customFormat="1">
      <c r="A1338" s="106"/>
      <c r="B1338" s="194" t="s">
        <v>3</v>
      </c>
      <c r="C1338" s="139"/>
      <c r="D1338" s="140"/>
      <c r="E1338" s="139"/>
      <c r="F1338" s="139"/>
      <c r="G1338" s="140"/>
      <c r="H1338" s="139"/>
      <c r="I1338" s="141"/>
      <c r="J1338" s="142"/>
      <c r="K1338" s="143"/>
      <c r="N1338" s="106"/>
      <c r="O1338" s="106"/>
      <c r="P1338" s="106"/>
      <c r="Q1338" s="106"/>
      <c r="R1338" s="106"/>
      <c r="S1338" s="106"/>
    </row>
    <row r="1339" spans="1:19" s="105" customFormat="1" ht="56.25">
      <c r="A1339" s="106"/>
      <c r="B1339" s="194" t="s">
        <v>873</v>
      </c>
      <c r="C1339" s="139"/>
      <c r="D1339" s="140"/>
      <c r="E1339" s="139"/>
      <c r="F1339" s="139"/>
      <c r="G1339" s="140"/>
      <c r="H1339" s="139">
        <v>0.9</v>
      </c>
      <c r="I1339" s="141">
        <f t="shared" si="51"/>
        <v>0.9</v>
      </c>
      <c r="J1339" s="142">
        <f t="shared" si="50"/>
        <v>100</v>
      </c>
      <c r="K1339" s="175" t="s">
        <v>874</v>
      </c>
      <c r="N1339" s="106"/>
      <c r="O1339" s="106"/>
      <c r="P1339" s="106"/>
      <c r="Q1339" s="106"/>
      <c r="R1339" s="106"/>
      <c r="S1339" s="106"/>
    </row>
    <row r="1340" spans="1:19" s="105" customFormat="1" ht="75">
      <c r="A1340" s="106"/>
      <c r="B1340" s="194" t="s">
        <v>875</v>
      </c>
      <c r="C1340" s="139"/>
      <c r="D1340" s="140"/>
      <c r="E1340" s="139"/>
      <c r="F1340" s="139"/>
      <c r="G1340" s="140"/>
      <c r="H1340" s="139">
        <v>6.48</v>
      </c>
      <c r="I1340" s="141">
        <f t="shared" si="51"/>
        <v>6.48</v>
      </c>
      <c r="J1340" s="142">
        <f t="shared" si="50"/>
        <v>100</v>
      </c>
      <c r="K1340" s="175" t="s">
        <v>876</v>
      </c>
      <c r="N1340" s="106"/>
      <c r="O1340" s="106"/>
      <c r="P1340" s="106"/>
      <c r="Q1340" s="106"/>
      <c r="R1340" s="106"/>
      <c r="S1340" s="106"/>
    </row>
    <row r="1341" spans="1:19" s="105" customFormat="1" ht="56.25">
      <c r="A1341" s="106"/>
      <c r="B1341" s="194" t="s">
        <v>877</v>
      </c>
      <c r="C1341" s="139"/>
      <c r="D1341" s="140"/>
      <c r="E1341" s="139"/>
      <c r="F1341" s="139"/>
      <c r="G1341" s="140"/>
      <c r="H1341" s="139">
        <v>0.18</v>
      </c>
      <c r="I1341" s="141">
        <f t="shared" si="51"/>
        <v>0.18</v>
      </c>
      <c r="J1341" s="142">
        <f t="shared" si="50"/>
        <v>100</v>
      </c>
      <c r="K1341" s="175" t="s">
        <v>878</v>
      </c>
      <c r="N1341" s="106"/>
      <c r="O1341" s="106"/>
      <c r="P1341" s="106"/>
      <c r="Q1341" s="106"/>
      <c r="R1341" s="106"/>
      <c r="S1341" s="106"/>
    </row>
    <row r="1342" spans="1:19" s="105" customFormat="1" ht="56.25">
      <c r="A1342" s="106"/>
      <c r="B1342" s="194" t="s">
        <v>879</v>
      </c>
      <c r="C1342" s="139"/>
      <c r="D1342" s="140"/>
      <c r="E1342" s="139"/>
      <c r="F1342" s="139"/>
      <c r="G1342" s="140"/>
      <c r="H1342" s="139">
        <v>16.2</v>
      </c>
      <c r="I1342" s="141">
        <f t="shared" si="51"/>
        <v>16.2</v>
      </c>
      <c r="J1342" s="142">
        <f t="shared" si="50"/>
        <v>100</v>
      </c>
      <c r="K1342" s="175" t="s">
        <v>880</v>
      </c>
      <c r="N1342" s="106"/>
      <c r="O1342" s="106"/>
      <c r="P1342" s="106"/>
      <c r="Q1342" s="106"/>
      <c r="R1342" s="106"/>
      <c r="S1342" s="106"/>
    </row>
    <row r="1343" spans="1:19" s="105" customFormat="1" ht="56.25">
      <c r="A1343" s="106"/>
      <c r="B1343" s="194" t="s">
        <v>881</v>
      </c>
      <c r="C1343" s="139"/>
      <c r="D1343" s="140"/>
      <c r="E1343" s="139"/>
      <c r="F1343" s="139"/>
      <c r="G1343" s="140"/>
      <c r="H1343" s="139">
        <v>0.36</v>
      </c>
      <c r="I1343" s="141">
        <f t="shared" si="51"/>
        <v>0.36</v>
      </c>
      <c r="J1343" s="142">
        <f t="shared" si="50"/>
        <v>100</v>
      </c>
      <c r="K1343" s="175" t="s">
        <v>882</v>
      </c>
      <c r="N1343" s="106"/>
      <c r="O1343" s="106"/>
      <c r="P1343" s="106"/>
      <c r="Q1343" s="106"/>
      <c r="R1343" s="106"/>
      <c r="S1343" s="106"/>
    </row>
    <row r="1344" spans="1:19" s="105" customFormat="1">
      <c r="A1344" s="106"/>
      <c r="B1344" s="175" t="s">
        <v>22</v>
      </c>
      <c r="C1344" s="139"/>
      <c r="D1344" s="140"/>
      <c r="E1344" s="139"/>
      <c r="F1344" s="139"/>
      <c r="G1344" s="140"/>
      <c r="H1344" s="139"/>
      <c r="I1344" s="141"/>
      <c r="J1344" s="142"/>
      <c r="K1344" s="143"/>
      <c r="N1344" s="106"/>
      <c r="O1344" s="106"/>
      <c r="P1344" s="106"/>
      <c r="Q1344" s="106"/>
      <c r="R1344" s="106"/>
      <c r="S1344" s="106"/>
    </row>
    <row r="1345" spans="1:19" s="105" customFormat="1">
      <c r="A1345" s="106"/>
      <c r="B1345" s="194" t="s">
        <v>21</v>
      </c>
      <c r="C1345" s="139"/>
      <c r="D1345" s="140"/>
      <c r="E1345" s="139"/>
      <c r="F1345" s="139"/>
      <c r="G1345" s="140"/>
      <c r="H1345" s="139"/>
      <c r="I1345" s="141"/>
      <c r="J1345" s="142"/>
      <c r="K1345" s="143"/>
      <c r="N1345" s="106"/>
      <c r="O1345" s="106"/>
      <c r="P1345" s="106"/>
      <c r="Q1345" s="106"/>
      <c r="R1345" s="106"/>
      <c r="S1345" s="106"/>
    </row>
    <row r="1346" spans="1:19" s="105" customFormat="1">
      <c r="A1346" s="106"/>
      <c r="B1346" s="175" t="s">
        <v>20</v>
      </c>
      <c r="C1346" s="139"/>
      <c r="D1346" s="140"/>
      <c r="E1346" s="139"/>
      <c r="F1346" s="139"/>
      <c r="G1346" s="140"/>
      <c r="H1346" s="139"/>
      <c r="I1346" s="141"/>
      <c r="J1346" s="142"/>
      <c r="K1346" s="143"/>
      <c r="N1346" s="106"/>
      <c r="O1346" s="106"/>
      <c r="P1346" s="106"/>
      <c r="Q1346" s="106"/>
      <c r="R1346" s="106"/>
      <c r="S1346" s="106"/>
    </row>
    <row r="1347" spans="1:19" s="105" customFormat="1">
      <c r="A1347" s="106"/>
      <c r="B1347" s="194" t="s">
        <v>17</v>
      </c>
      <c r="C1347" s="139"/>
      <c r="D1347" s="140"/>
      <c r="E1347" s="139"/>
      <c r="F1347" s="139"/>
      <c r="G1347" s="140"/>
      <c r="H1347" s="139"/>
      <c r="I1347" s="141"/>
      <c r="J1347" s="142"/>
      <c r="K1347" s="143"/>
      <c r="N1347" s="106"/>
      <c r="O1347" s="106"/>
      <c r="P1347" s="106"/>
      <c r="Q1347" s="106"/>
      <c r="R1347" s="106"/>
      <c r="S1347" s="106"/>
    </row>
    <row r="1348" spans="1:19" s="105" customFormat="1">
      <c r="A1348" s="106"/>
      <c r="B1348" s="175" t="s">
        <v>44</v>
      </c>
      <c r="C1348" s="139"/>
      <c r="D1348" s="140"/>
      <c r="E1348" s="139">
        <f>SUM(E1349:E1357)</f>
        <v>15.862699999999998</v>
      </c>
      <c r="F1348" s="139"/>
      <c r="G1348" s="140"/>
      <c r="H1348" s="139">
        <f>SUM(H1349:H1357)</f>
        <v>4.1621500000000005</v>
      </c>
      <c r="I1348" s="141">
        <f t="shared" si="51"/>
        <v>-11.700549999999998</v>
      </c>
      <c r="J1348" s="142">
        <f t="shared" si="50"/>
        <v>-281.11793183811244</v>
      </c>
      <c r="K1348" s="143"/>
      <c r="N1348" s="106"/>
      <c r="O1348" s="106"/>
      <c r="P1348" s="106"/>
      <c r="Q1348" s="106"/>
      <c r="R1348" s="106"/>
      <c r="S1348" s="106"/>
    </row>
    <row r="1349" spans="1:19" s="105" customFormat="1" ht="37.5">
      <c r="A1349" s="106"/>
      <c r="B1349" s="194" t="s">
        <v>90</v>
      </c>
      <c r="C1349" s="139"/>
      <c r="D1349" s="140"/>
      <c r="E1349" s="139">
        <v>3.5</v>
      </c>
      <c r="F1349" s="139"/>
      <c r="G1349" s="140"/>
      <c r="H1349" s="139">
        <f>0.6092+1.2995</f>
        <v>1.9087000000000001</v>
      </c>
      <c r="I1349" s="141">
        <f t="shared" si="51"/>
        <v>-1.5912999999999999</v>
      </c>
      <c r="J1349" s="142">
        <f t="shared" si="50"/>
        <v>-83.37088070414417</v>
      </c>
      <c r="K1349" s="175" t="s">
        <v>883</v>
      </c>
      <c r="N1349" s="106"/>
      <c r="O1349" s="106"/>
      <c r="P1349" s="106"/>
      <c r="Q1349" s="106"/>
      <c r="R1349" s="106"/>
      <c r="S1349" s="106"/>
    </row>
    <row r="1350" spans="1:19" s="105" customFormat="1" ht="37.5">
      <c r="A1350" s="106"/>
      <c r="B1350" s="194"/>
      <c r="C1350" s="139"/>
      <c r="D1350" s="140"/>
      <c r="E1350" s="139"/>
      <c r="F1350" s="139"/>
      <c r="G1350" s="140"/>
      <c r="H1350" s="139"/>
      <c r="I1350" s="141">
        <f t="shared" si="51"/>
        <v>0</v>
      </c>
      <c r="J1350" s="142"/>
      <c r="K1350" s="175" t="s">
        <v>884</v>
      </c>
      <c r="N1350" s="106"/>
      <c r="O1350" s="106"/>
      <c r="P1350" s="106"/>
      <c r="Q1350" s="106"/>
      <c r="R1350" s="106"/>
      <c r="S1350" s="106"/>
    </row>
    <row r="1351" spans="1:19" s="105" customFormat="1" ht="56.25">
      <c r="A1351" s="106"/>
      <c r="B1351" s="194" t="s">
        <v>91</v>
      </c>
      <c r="C1351" s="139"/>
      <c r="D1351" s="140"/>
      <c r="E1351" s="139">
        <v>1.5</v>
      </c>
      <c r="F1351" s="139"/>
      <c r="G1351" s="140"/>
      <c r="H1351" s="139">
        <f>0.3022+0.0953+0.39995</f>
        <v>0.79744999999999999</v>
      </c>
      <c r="I1351" s="141">
        <f t="shared" si="51"/>
        <v>-0.70255000000000001</v>
      </c>
      <c r="J1351" s="142">
        <f t="shared" ref="J1351:J1403" si="52">+I1351*100/H1351</f>
        <v>-88.099567370995047</v>
      </c>
      <c r="K1351" s="175" t="s">
        <v>885</v>
      </c>
      <c r="N1351" s="106"/>
      <c r="O1351" s="106"/>
      <c r="P1351" s="106"/>
      <c r="Q1351" s="106"/>
      <c r="R1351" s="106"/>
      <c r="S1351" s="106"/>
    </row>
    <row r="1352" spans="1:19" s="105" customFormat="1" ht="75">
      <c r="A1352" s="106"/>
      <c r="B1352" s="194"/>
      <c r="C1352" s="139"/>
      <c r="D1352" s="140"/>
      <c r="E1352" s="139"/>
      <c r="F1352" s="139"/>
      <c r="G1352" s="140"/>
      <c r="H1352" s="139"/>
      <c r="I1352" s="141">
        <f t="shared" si="51"/>
        <v>0</v>
      </c>
      <c r="J1352" s="142"/>
      <c r="K1352" s="175" t="s">
        <v>886</v>
      </c>
      <c r="N1352" s="106"/>
      <c r="O1352" s="106"/>
      <c r="P1352" s="106"/>
      <c r="Q1352" s="106"/>
      <c r="R1352" s="106"/>
      <c r="S1352" s="106"/>
    </row>
    <row r="1353" spans="1:19" s="105" customFormat="1" ht="56.25">
      <c r="A1353" s="106"/>
      <c r="B1353" s="194"/>
      <c r="C1353" s="139"/>
      <c r="D1353" s="140"/>
      <c r="E1353" s="139"/>
      <c r="F1353" s="139"/>
      <c r="G1353" s="140"/>
      <c r="H1353" s="139"/>
      <c r="I1353" s="141">
        <f t="shared" si="51"/>
        <v>0</v>
      </c>
      <c r="J1353" s="142"/>
      <c r="K1353" s="175" t="s">
        <v>887</v>
      </c>
      <c r="N1353" s="106"/>
      <c r="O1353" s="106"/>
      <c r="P1353" s="106"/>
      <c r="Q1353" s="106"/>
      <c r="R1353" s="106"/>
      <c r="S1353" s="106"/>
    </row>
    <row r="1354" spans="1:19" s="105" customFormat="1">
      <c r="A1354" s="106"/>
      <c r="B1354" s="194" t="s">
        <v>167</v>
      </c>
      <c r="C1354" s="139"/>
      <c r="D1354" s="140"/>
      <c r="E1354" s="139">
        <v>0.4</v>
      </c>
      <c r="F1354" s="139"/>
      <c r="G1354" s="140"/>
      <c r="H1354" s="139"/>
      <c r="I1354" s="141">
        <f t="shared" si="51"/>
        <v>-0.4</v>
      </c>
      <c r="J1354" s="142"/>
      <c r="K1354" s="143"/>
      <c r="N1354" s="106"/>
      <c r="O1354" s="106"/>
      <c r="P1354" s="106"/>
      <c r="Q1354" s="106"/>
      <c r="R1354" s="106"/>
      <c r="S1354" s="106"/>
    </row>
    <row r="1355" spans="1:19" s="105" customFormat="1">
      <c r="A1355" s="106"/>
      <c r="B1355" s="194" t="s">
        <v>168</v>
      </c>
      <c r="C1355" s="139"/>
      <c r="D1355" s="140"/>
      <c r="E1355" s="139">
        <v>4.8</v>
      </c>
      <c r="F1355" s="139"/>
      <c r="G1355" s="140"/>
      <c r="H1355" s="139">
        <v>1.456</v>
      </c>
      <c r="I1355" s="141">
        <f t="shared" si="51"/>
        <v>-3.3439999999999999</v>
      </c>
      <c r="J1355" s="142">
        <f t="shared" si="52"/>
        <v>-229.67032967032966</v>
      </c>
      <c r="K1355" s="143" t="s">
        <v>888</v>
      </c>
      <c r="N1355" s="106"/>
      <c r="O1355" s="106"/>
      <c r="P1355" s="106"/>
      <c r="Q1355" s="106"/>
      <c r="R1355" s="106"/>
      <c r="S1355" s="106"/>
    </row>
    <row r="1356" spans="1:19" s="105" customFormat="1">
      <c r="A1356" s="106"/>
      <c r="B1356" s="194" t="s">
        <v>169</v>
      </c>
      <c r="C1356" s="139"/>
      <c r="D1356" s="140"/>
      <c r="E1356" s="139">
        <v>2.6</v>
      </c>
      <c r="F1356" s="139"/>
      <c r="G1356" s="140"/>
      <c r="H1356" s="139"/>
      <c r="I1356" s="141">
        <f t="shared" si="51"/>
        <v>-2.6</v>
      </c>
      <c r="J1356" s="142"/>
      <c r="K1356" s="143"/>
      <c r="N1356" s="106"/>
      <c r="O1356" s="106"/>
      <c r="P1356" s="106"/>
      <c r="Q1356" s="106"/>
      <c r="R1356" s="106"/>
      <c r="S1356" s="106"/>
    </row>
    <row r="1357" spans="1:19" s="105" customFormat="1">
      <c r="A1357" s="106"/>
      <c r="B1357" s="194" t="s">
        <v>138</v>
      </c>
      <c r="C1357" s="139"/>
      <c r="D1357" s="140"/>
      <c r="E1357" s="139">
        <v>3.0627</v>
      </c>
      <c r="F1357" s="139"/>
      <c r="G1357" s="140"/>
      <c r="H1357" s="139"/>
      <c r="I1357" s="141">
        <f t="shared" si="51"/>
        <v>-3.0627</v>
      </c>
      <c r="J1357" s="142"/>
      <c r="K1357" s="143"/>
      <c r="N1357" s="106"/>
      <c r="O1357" s="106"/>
      <c r="P1357" s="106"/>
      <c r="Q1357" s="106"/>
      <c r="R1357" s="106"/>
      <c r="S1357" s="106"/>
    </row>
    <row r="1358" spans="1:19" s="105" customFormat="1">
      <c r="A1358" s="106"/>
      <c r="B1358" s="194"/>
      <c r="C1358" s="139"/>
      <c r="D1358" s="140"/>
      <c r="E1358" s="139"/>
      <c r="F1358" s="139"/>
      <c r="G1358" s="140"/>
      <c r="H1358" s="139"/>
      <c r="I1358" s="141">
        <f t="shared" si="51"/>
        <v>0</v>
      </c>
      <c r="J1358" s="142"/>
      <c r="K1358" s="143"/>
      <c r="N1358" s="106"/>
      <c r="O1358" s="106"/>
      <c r="P1358" s="106"/>
      <c r="Q1358" s="106"/>
      <c r="R1358" s="106"/>
      <c r="S1358" s="106"/>
    </row>
    <row r="1359" spans="1:19" s="105" customFormat="1">
      <c r="A1359" s="106"/>
      <c r="B1359" s="175" t="s">
        <v>45</v>
      </c>
      <c r="C1359" s="139"/>
      <c r="D1359" s="140"/>
      <c r="E1359" s="139">
        <f>SUM(E1360:E1364)</f>
        <v>0</v>
      </c>
      <c r="F1359" s="139"/>
      <c r="G1359" s="140"/>
      <c r="H1359" s="139">
        <f>SUM(H1360:H1364)</f>
        <v>0</v>
      </c>
      <c r="I1359" s="141">
        <f t="shared" si="51"/>
        <v>0</v>
      </c>
      <c r="J1359" s="142"/>
      <c r="K1359" s="143"/>
      <c r="N1359" s="106"/>
      <c r="O1359" s="106"/>
      <c r="P1359" s="106"/>
      <c r="Q1359" s="106"/>
      <c r="R1359" s="106"/>
      <c r="S1359" s="106"/>
    </row>
    <row r="1360" spans="1:19" s="105" customFormat="1">
      <c r="A1360" s="106"/>
      <c r="B1360" s="194" t="s">
        <v>106</v>
      </c>
      <c r="C1360" s="139"/>
      <c r="D1360" s="140"/>
      <c r="E1360" s="139"/>
      <c r="F1360" s="139"/>
      <c r="G1360" s="140"/>
      <c r="H1360" s="139"/>
      <c r="I1360" s="139"/>
      <c r="J1360" s="139"/>
      <c r="K1360" s="143"/>
      <c r="N1360" s="106"/>
      <c r="O1360" s="106"/>
      <c r="P1360" s="106"/>
      <c r="Q1360" s="106"/>
      <c r="R1360" s="106"/>
      <c r="S1360" s="106"/>
    </row>
    <row r="1361" spans="1:19" s="105" customFormat="1">
      <c r="A1361" s="106"/>
      <c r="B1361" s="194" t="s">
        <v>107</v>
      </c>
      <c r="C1361" s="139"/>
      <c r="D1361" s="140"/>
      <c r="E1361" s="139"/>
      <c r="F1361" s="139"/>
      <c r="G1361" s="140"/>
      <c r="H1361" s="139"/>
      <c r="I1361" s="139"/>
      <c r="J1361" s="139"/>
      <c r="K1361" s="143"/>
      <c r="N1361" s="106"/>
      <c r="O1361" s="106"/>
      <c r="P1361" s="106"/>
      <c r="Q1361" s="106"/>
      <c r="R1361" s="106"/>
      <c r="S1361" s="106"/>
    </row>
    <row r="1362" spans="1:19" s="105" customFormat="1">
      <c r="A1362" s="106"/>
      <c r="B1362" s="194" t="s">
        <v>108</v>
      </c>
      <c r="C1362" s="139"/>
      <c r="D1362" s="140"/>
      <c r="E1362" s="139"/>
      <c r="F1362" s="139"/>
      <c r="G1362" s="140"/>
      <c r="H1362" s="139"/>
      <c r="I1362" s="139"/>
      <c r="J1362" s="139"/>
      <c r="K1362" s="143"/>
      <c r="N1362" s="106"/>
      <c r="O1362" s="106"/>
      <c r="P1362" s="106"/>
      <c r="Q1362" s="106"/>
      <c r="R1362" s="106"/>
      <c r="S1362" s="106"/>
    </row>
    <row r="1363" spans="1:19" s="105" customFormat="1">
      <c r="A1363" s="106"/>
      <c r="B1363" s="194" t="s">
        <v>109</v>
      </c>
      <c r="C1363" s="139"/>
      <c r="D1363" s="140"/>
      <c r="E1363" s="139"/>
      <c r="F1363" s="139"/>
      <c r="G1363" s="140"/>
      <c r="H1363" s="139"/>
      <c r="I1363" s="139"/>
      <c r="J1363" s="139"/>
      <c r="K1363" s="143"/>
      <c r="N1363" s="106"/>
      <c r="O1363" s="106"/>
      <c r="P1363" s="106"/>
      <c r="Q1363" s="106"/>
      <c r="R1363" s="106"/>
      <c r="S1363" s="106"/>
    </row>
    <row r="1364" spans="1:19" s="105" customFormat="1">
      <c r="A1364" s="106"/>
      <c r="B1364" s="194" t="s">
        <v>111</v>
      </c>
      <c r="C1364" s="139"/>
      <c r="D1364" s="140"/>
      <c r="E1364" s="139"/>
      <c r="F1364" s="139"/>
      <c r="G1364" s="140"/>
      <c r="H1364" s="139"/>
      <c r="I1364" s="139"/>
      <c r="J1364" s="139"/>
      <c r="K1364" s="143"/>
      <c r="N1364" s="106"/>
      <c r="O1364" s="106"/>
      <c r="P1364" s="106"/>
      <c r="Q1364" s="106"/>
      <c r="R1364" s="106"/>
      <c r="S1364" s="106"/>
    </row>
    <row r="1365" spans="1:19" s="105" customFormat="1">
      <c r="A1365" s="106"/>
      <c r="B1365" s="175" t="s">
        <v>46</v>
      </c>
      <c r="C1365" s="139"/>
      <c r="D1365" s="140"/>
      <c r="E1365" s="139">
        <f>+E1366+E1377</f>
        <v>0</v>
      </c>
      <c r="F1365" s="139"/>
      <c r="G1365" s="140"/>
      <c r="H1365" s="139">
        <f>+H1366+H1377</f>
        <v>0</v>
      </c>
      <c r="I1365" s="143"/>
      <c r="J1365" s="143"/>
      <c r="K1365" s="143"/>
      <c r="N1365" s="106"/>
      <c r="O1365" s="106"/>
      <c r="P1365" s="106"/>
      <c r="Q1365" s="106"/>
      <c r="R1365" s="106"/>
      <c r="S1365" s="106"/>
    </row>
    <row r="1366" spans="1:19" s="105" customFormat="1">
      <c r="A1366" s="106"/>
      <c r="B1366" s="175" t="s">
        <v>47</v>
      </c>
      <c r="C1366" s="139"/>
      <c r="D1366" s="140"/>
      <c r="E1366" s="139">
        <f>+E1368</f>
        <v>0</v>
      </c>
      <c r="F1366" s="139"/>
      <c r="G1366" s="140"/>
      <c r="H1366" s="139">
        <f>+H1368</f>
        <v>0</v>
      </c>
      <c r="I1366" s="143"/>
      <c r="J1366" s="143"/>
      <c r="K1366" s="143"/>
      <c r="N1366" s="106"/>
      <c r="O1366" s="106"/>
      <c r="P1366" s="106"/>
      <c r="Q1366" s="106"/>
      <c r="R1366" s="106"/>
      <c r="S1366" s="106"/>
    </row>
    <row r="1367" spans="1:19" s="105" customFormat="1">
      <c r="A1367" s="106"/>
      <c r="B1367" s="175" t="s">
        <v>19</v>
      </c>
      <c r="C1367" s="139"/>
      <c r="D1367" s="140"/>
      <c r="E1367" s="139"/>
      <c r="F1367" s="139"/>
      <c r="G1367" s="140"/>
      <c r="H1367" s="139"/>
      <c r="I1367" s="143"/>
      <c r="J1367" s="143"/>
      <c r="K1367" s="143"/>
      <c r="N1367" s="106"/>
      <c r="O1367" s="106"/>
      <c r="P1367" s="106"/>
      <c r="Q1367" s="106"/>
      <c r="R1367" s="106"/>
      <c r="S1367" s="106"/>
    </row>
    <row r="1368" spans="1:19" s="105" customFormat="1">
      <c r="A1368" s="106"/>
      <c r="B1368" s="175" t="s">
        <v>110</v>
      </c>
      <c r="C1368" s="139"/>
      <c r="D1368" s="140"/>
      <c r="E1368" s="139"/>
      <c r="F1368" s="139"/>
      <c r="G1368" s="140"/>
      <c r="H1368" s="139"/>
      <c r="I1368" s="143"/>
      <c r="J1368" s="143"/>
      <c r="K1368" s="143"/>
      <c r="N1368" s="106"/>
      <c r="O1368" s="106"/>
      <c r="P1368" s="106"/>
      <c r="Q1368" s="106"/>
      <c r="R1368" s="106"/>
      <c r="S1368" s="106"/>
    </row>
    <row r="1369" spans="1:19" s="105" customFormat="1">
      <c r="A1369" s="106"/>
      <c r="B1369" s="194" t="s">
        <v>17</v>
      </c>
      <c r="C1369" s="139"/>
      <c r="D1369" s="140"/>
      <c r="E1369" s="139"/>
      <c r="F1369" s="139"/>
      <c r="G1369" s="140"/>
      <c r="H1369" s="139"/>
      <c r="I1369" s="139"/>
      <c r="J1369" s="139"/>
      <c r="K1369" s="143"/>
      <c r="N1369" s="106"/>
      <c r="O1369" s="106"/>
      <c r="P1369" s="106"/>
      <c r="Q1369" s="106"/>
      <c r="R1369" s="106"/>
      <c r="S1369" s="106"/>
    </row>
    <row r="1370" spans="1:19" s="105" customFormat="1">
      <c r="A1370" s="106"/>
      <c r="B1370" s="194" t="s">
        <v>18</v>
      </c>
      <c r="C1370" s="139"/>
      <c r="D1370" s="140"/>
      <c r="E1370" s="139"/>
      <c r="F1370" s="139"/>
      <c r="G1370" s="140"/>
      <c r="H1370" s="139"/>
      <c r="I1370" s="139"/>
      <c r="J1370" s="139"/>
      <c r="K1370" s="143"/>
      <c r="N1370" s="106"/>
      <c r="O1370" s="106"/>
      <c r="P1370" s="106"/>
      <c r="Q1370" s="106"/>
      <c r="R1370" s="106"/>
      <c r="S1370" s="106"/>
    </row>
    <row r="1371" spans="1:19" s="105" customFormat="1">
      <c r="A1371" s="106"/>
      <c r="B1371" s="175" t="s">
        <v>22</v>
      </c>
      <c r="C1371" s="139"/>
      <c r="D1371" s="140"/>
      <c r="E1371" s="139"/>
      <c r="F1371" s="139"/>
      <c r="G1371" s="140"/>
      <c r="H1371" s="139"/>
      <c r="I1371" s="139"/>
      <c r="J1371" s="139"/>
      <c r="K1371" s="143"/>
      <c r="N1371" s="106"/>
      <c r="O1371" s="106"/>
      <c r="P1371" s="106"/>
      <c r="Q1371" s="106"/>
      <c r="R1371" s="106"/>
      <c r="S1371" s="106"/>
    </row>
    <row r="1372" spans="1:19" s="105" customFormat="1">
      <c r="A1372" s="106"/>
      <c r="B1372" s="175" t="s">
        <v>48</v>
      </c>
      <c r="C1372" s="139"/>
      <c r="D1372" s="140"/>
      <c r="E1372" s="139"/>
      <c r="F1372" s="139"/>
      <c r="G1372" s="140"/>
      <c r="H1372" s="139"/>
      <c r="I1372" s="139"/>
      <c r="J1372" s="139"/>
      <c r="K1372" s="143"/>
      <c r="N1372" s="106"/>
      <c r="O1372" s="106"/>
      <c r="P1372" s="106"/>
      <c r="Q1372" s="106"/>
      <c r="R1372" s="106"/>
      <c r="S1372" s="106"/>
    </row>
    <row r="1373" spans="1:19" s="105" customFormat="1">
      <c r="A1373" s="106"/>
      <c r="B1373" s="194" t="s">
        <v>23</v>
      </c>
      <c r="C1373" s="139"/>
      <c r="D1373" s="140"/>
      <c r="E1373" s="139"/>
      <c r="F1373" s="139"/>
      <c r="G1373" s="140"/>
      <c r="H1373" s="139"/>
      <c r="I1373" s="139"/>
      <c r="J1373" s="139"/>
      <c r="K1373" s="143"/>
      <c r="N1373" s="106"/>
      <c r="O1373" s="106"/>
      <c r="P1373" s="106"/>
      <c r="Q1373" s="106"/>
      <c r="R1373" s="106"/>
      <c r="S1373" s="106"/>
    </row>
    <row r="1374" spans="1:19" s="105" customFormat="1">
      <c r="A1374" s="106"/>
      <c r="B1374" s="175" t="s">
        <v>20</v>
      </c>
      <c r="C1374" s="139"/>
      <c r="D1374" s="140"/>
      <c r="E1374" s="139"/>
      <c r="F1374" s="139"/>
      <c r="G1374" s="140"/>
      <c r="H1374" s="139"/>
      <c r="I1374" s="139"/>
      <c r="J1374" s="139"/>
      <c r="K1374" s="143"/>
      <c r="N1374" s="106"/>
      <c r="O1374" s="106"/>
      <c r="P1374" s="106"/>
      <c r="Q1374" s="106"/>
      <c r="R1374" s="106"/>
      <c r="S1374" s="106"/>
    </row>
    <row r="1375" spans="1:19" s="105" customFormat="1">
      <c r="A1375" s="106"/>
      <c r="B1375" s="175" t="s">
        <v>48</v>
      </c>
      <c r="C1375" s="139"/>
      <c r="D1375" s="140"/>
      <c r="E1375" s="139"/>
      <c r="F1375" s="139"/>
      <c r="G1375" s="140"/>
      <c r="H1375" s="139"/>
      <c r="I1375" s="139"/>
      <c r="J1375" s="139"/>
      <c r="K1375" s="143"/>
      <c r="N1375" s="106"/>
      <c r="O1375" s="106"/>
      <c r="P1375" s="106"/>
      <c r="Q1375" s="106"/>
      <c r="R1375" s="106"/>
      <c r="S1375" s="106"/>
    </row>
    <row r="1376" spans="1:19" s="105" customFormat="1">
      <c r="A1376" s="106"/>
      <c r="B1376" s="194" t="s">
        <v>23</v>
      </c>
      <c r="C1376" s="139"/>
      <c r="D1376" s="140"/>
      <c r="E1376" s="139"/>
      <c r="F1376" s="139"/>
      <c r="G1376" s="140"/>
      <c r="H1376" s="139"/>
      <c r="I1376" s="139"/>
      <c r="J1376" s="139"/>
      <c r="K1376" s="143"/>
      <c r="N1376" s="106"/>
      <c r="O1376" s="106"/>
      <c r="P1376" s="106"/>
      <c r="Q1376" s="106"/>
      <c r="R1376" s="106"/>
      <c r="S1376" s="106"/>
    </row>
    <row r="1377" spans="1:19" s="105" customFormat="1">
      <c r="A1377" s="106"/>
      <c r="B1377" s="175" t="s">
        <v>49</v>
      </c>
      <c r="C1377" s="139"/>
      <c r="D1377" s="140"/>
      <c r="E1377" s="139">
        <f>+E1379</f>
        <v>0</v>
      </c>
      <c r="F1377" s="139"/>
      <c r="G1377" s="140"/>
      <c r="H1377" s="139">
        <f>+H1379</f>
        <v>0</v>
      </c>
      <c r="I1377" s="143"/>
      <c r="J1377" s="143"/>
      <c r="K1377" s="143"/>
      <c r="N1377" s="106"/>
      <c r="O1377" s="106"/>
      <c r="P1377" s="106"/>
      <c r="Q1377" s="106"/>
      <c r="R1377" s="106"/>
      <c r="S1377" s="106"/>
    </row>
    <row r="1378" spans="1:19" s="105" customFormat="1">
      <c r="A1378" s="106"/>
      <c r="B1378" s="175" t="s">
        <v>19</v>
      </c>
      <c r="C1378" s="139"/>
      <c r="D1378" s="140"/>
      <c r="E1378" s="139"/>
      <c r="F1378" s="139"/>
      <c r="G1378" s="140"/>
      <c r="H1378" s="139"/>
      <c r="I1378" s="143"/>
      <c r="J1378" s="143"/>
      <c r="K1378" s="143"/>
      <c r="N1378" s="106"/>
      <c r="O1378" s="106"/>
      <c r="P1378" s="106"/>
      <c r="Q1378" s="106"/>
      <c r="R1378" s="106"/>
      <c r="S1378" s="106"/>
    </row>
    <row r="1379" spans="1:19" s="105" customFormat="1">
      <c r="A1379" s="106"/>
      <c r="B1379" s="175" t="s">
        <v>50</v>
      </c>
      <c r="C1379" s="139"/>
      <c r="D1379" s="140"/>
      <c r="E1379" s="139"/>
      <c r="F1379" s="139"/>
      <c r="G1379" s="140"/>
      <c r="H1379" s="139"/>
      <c r="I1379" s="143"/>
      <c r="J1379" s="143"/>
      <c r="K1379" s="143"/>
      <c r="N1379" s="106"/>
      <c r="O1379" s="106"/>
      <c r="P1379" s="106"/>
      <c r="Q1379" s="106"/>
      <c r="R1379" s="106"/>
      <c r="S1379" s="106"/>
    </row>
    <row r="1380" spans="1:19" s="105" customFormat="1" ht="27.75" customHeight="1">
      <c r="A1380" s="106"/>
      <c r="B1380" s="194" t="s">
        <v>17</v>
      </c>
      <c r="C1380" s="139"/>
      <c r="D1380" s="140"/>
      <c r="E1380" s="139"/>
      <c r="F1380" s="139"/>
      <c r="G1380" s="140"/>
      <c r="H1380" s="139"/>
      <c r="I1380" s="139"/>
      <c r="J1380" s="139"/>
      <c r="K1380" s="143"/>
      <c r="N1380" s="106"/>
      <c r="O1380" s="106"/>
      <c r="P1380" s="106"/>
      <c r="Q1380" s="106"/>
      <c r="R1380" s="106"/>
      <c r="S1380" s="106"/>
    </row>
    <row r="1381" spans="1:19" s="105" customFormat="1" ht="27.75" customHeight="1">
      <c r="A1381" s="106"/>
      <c r="B1381" s="194" t="s">
        <v>18</v>
      </c>
      <c r="C1381" s="139"/>
      <c r="D1381" s="140"/>
      <c r="E1381" s="139"/>
      <c r="F1381" s="139"/>
      <c r="G1381" s="140"/>
      <c r="H1381" s="139"/>
      <c r="I1381" s="139"/>
      <c r="J1381" s="139"/>
      <c r="K1381" s="143"/>
      <c r="N1381" s="106"/>
      <c r="O1381" s="106"/>
      <c r="P1381" s="106"/>
      <c r="Q1381" s="106"/>
      <c r="R1381" s="106"/>
      <c r="S1381" s="106"/>
    </row>
    <row r="1382" spans="1:19" s="105" customFormat="1">
      <c r="A1382" s="106"/>
      <c r="B1382" s="175" t="s">
        <v>22</v>
      </c>
      <c r="C1382" s="139"/>
      <c r="D1382" s="140"/>
      <c r="E1382" s="139"/>
      <c r="F1382" s="139"/>
      <c r="G1382" s="140"/>
      <c r="H1382" s="139"/>
      <c r="I1382" s="139"/>
      <c r="J1382" s="139"/>
      <c r="K1382" s="143"/>
      <c r="N1382" s="106"/>
      <c r="O1382" s="106"/>
      <c r="P1382" s="106"/>
      <c r="Q1382" s="106"/>
      <c r="R1382" s="106"/>
      <c r="S1382" s="106"/>
    </row>
    <row r="1383" spans="1:19" s="105" customFormat="1">
      <c r="A1383" s="106"/>
      <c r="B1383" s="175" t="s">
        <v>51</v>
      </c>
      <c r="C1383" s="139"/>
      <c r="D1383" s="140"/>
      <c r="E1383" s="139"/>
      <c r="F1383" s="139"/>
      <c r="G1383" s="140"/>
      <c r="H1383" s="139"/>
      <c r="I1383" s="139"/>
      <c r="J1383" s="139"/>
      <c r="K1383" s="143"/>
      <c r="N1383" s="106"/>
      <c r="O1383" s="106"/>
      <c r="P1383" s="106"/>
      <c r="Q1383" s="106"/>
      <c r="R1383" s="106"/>
      <c r="S1383" s="106"/>
    </row>
    <row r="1384" spans="1:19" s="105" customFormat="1">
      <c r="A1384" s="106"/>
      <c r="B1384" s="194" t="s">
        <v>23</v>
      </c>
      <c r="C1384" s="139"/>
      <c r="D1384" s="140"/>
      <c r="E1384" s="139"/>
      <c r="F1384" s="139"/>
      <c r="G1384" s="140"/>
      <c r="H1384" s="139"/>
      <c r="I1384" s="139"/>
      <c r="J1384" s="139"/>
      <c r="K1384" s="143"/>
      <c r="N1384" s="106"/>
      <c r="O1384" s="106"/>
      <c r="P1384" s="106"/>
      <c r="Q1384" s="106"/>
      <c r="R1384" s="106"/>
      <c r="S1384" s="106"/>
    </row>
    <row r="1385" spans="1:19" s="105" customFormat="1">
      <c r="A1385" s="106"/>
      <c r="B1385" s="175" t="s">
        <v>20</v>
      </c>
      <c r="C1385" s="139"/>
      <c r="D1385" s="140"/>
      <c r="E1385" s="139"/>
      <c r="F1385" s="139"/>
      <c r="G1385" s="140"/>
      <c r="H1385" s="139"/>
      <c r="I1385" s="139"/>
      <c r="J1385" s="139"/>
      <c r="K1385" s="143"/>
      <c r="N1385" s="106"/>
      <c r="O1385" s="106"/>
      <c r="P1385" s="106"/>
      <c r="Q1385" s="106"/>
      <c r="R1385" s="106"/>
      <c r="S1385" s="106"/>
    </row>
    <row r="1386" spans="1:19" s="105" customFormat="1">
      <c r="A1386" s="106"/>
      <c r="B1386" s="175" t="s">
        <v>51</v>
      </c>
      <c r="C1386" s="139"/>
      <c r="D1386" s="140"/>
      <c r="E1386" s="139"/>
      <c r="F1386" s="139"/>
      <c r="G1386" s="140"/>
      <c r="H1386" s="139"/>
      <c r="I1386" s="139"/>
      <c r="J1386" s="139"/>
      <c r="K1386" s="143"/>
      <c r="N1386" s="106"/>
      <c r="O1386" s="106"/>
      <c r="P1386" s="106"/>
      <c r="Q1386" s="106"/>
      <c r="R1386" s="106"/>
      <c r="S1386" s="106"/>
    </row>
    <row r="1387" spans="1:19" s="105" customFormat="1">
      <c r="A1387" s="106"/>
      <c r="B1387" s="194" t="s">
        <v>23</v>
      </c>
      <c r="C1387" s="139"/>
      <c r="D1387" s="140"/>
      <c r="E1387" s="139"/>
      <c r="F1387" s="139"/>
      <c r="G1387" s="140"/>
      <c r="H1387" s="139"/>
      <c r="I1387" s="139"/>
      <c r="J1387" s="139"/>
      <c r="K1387" s="143"/>
      <c r="N1387" s="106"/>
      <c r="O1387" s="106"/>
      <c r="P1387" s="106"/>
      <c r="Q1387" s="106"/>
      <c r="R1387" s="106"/>
      <c r="S1387" s="106"/>
    </row>
    <row r="1388" spans="1:19" s="105" customFormat="1">
      <c r="A1388" s="106"/>
      <c r="B1388" s="175" t="s">
        <v>53</v>
      </c>
      <c r="C1388" s="139"/>
      <c r="D1388" s="140"/>
      <c r="E1388" s="139">
        <f>SUM(E1390:E1396)</f>
        <v>669.60709999999995</v>
      </c>
      <c r="F1388" s="139"/>
      <c r="G1388" s="140"/>
      <c r="H1388" s="139">
        <f>SUM(H1390:H1396)</f>
        <v>1286.56</v>
      </c>
      <c r="I1388" s="141">
        <f t="shared" ref="I1388:I1419" si="53">+H1388-E1388</f>
        <v>616.9529</v>
      </c>
      <c r="J1388" s="142">
        <f t="shared" si="52"/>
        <v>47.953682688720313</v>
      </c>
      <c r="K1388" s="143"/>
      <c r="N1388" s="106"/>
      <c r="O1388" s="106"/>
      <c r="P1388" s="106"/>
      <c r="Q1388" s="106"/>
      <c r="R1388" s="106"/>
      <c r="S1388" s="106"/>
    </row>
    <row r="1389" spans="1:19" s="105" customFormat="1">
      <c r="A1389" s="106"/>
      <c r="B1389" s="175" t="s">
        <v>52</v>
      </c>
      <c r="C1389" s="139"/>
      <c r="D1389" s="140"/>
      <c r="E1389" s="139"/>
      <c r="F1389" s="139"/>
      <c r="G1389" s="140"/>
      <c r="H1389" s="139"/>
      <c r="I1389" s="139"/>
      <c r="J1389" s="139"/>
      <c r="K1389" s="143"/>
      <c r="N1389" s="106"/>
      <c r="O1389" s="106"/>
      <c r="P1389" s="106"/>
      <c r="Q1389" s="106"/>
      <c r="R1389" s="106"/>
      <c r="S1389" s="106"/>
    </row>
    <row r="1390" spans="1:19" s="105" customFormat="1" ht="56.25">
      <c r="A1390" s="106"/>
      <c r="B1390" s="175" t="s">
        <v>889</v>
      </c>
      <c r="C1390" s="139"/>
      <c r="D1390" s="140"/>
      <c r="E1390" s="139">
        <v>31.2532</v>
      </c>
      <c r="F1390" s="139"/>
      <c r="G1390" s="140"/>
      <c r="H1390" s="139">
        <v>68.760000000000005</v>
      </c>
      <c r="I1390" s="141">
        <f t="shared" si="53"/>
        <v>37.506800000000005</v>
      </c>
      <c r="J1390" s="142">
        <f t="shared" si="52"/>
        <v>54.547411285631185</v>
      </c>
      <c r="K1390" s="143"/>
      <c r="N1390" s="106"/>
      <c r="O1390" s="106"/>
      <c r="P1390" s="106"/>
      <c r="Q1390" s="106"/>
      <c r="R1390" s="106"/>
      <c r="S1390" s="106"/>
    </row>
    <row r="1391" spans="1:19" s="105" customFormat="1" ht="37.5">
      <c r="A1391" s="106"/>
      <c r="B1391" s="175" t="s">
        <v>172</v>
      </c>
      <c r="C1391" s="139"/>
      <c r="D1391" s="140"/>
      <c r="E1391" s="139">
        <v>11.0268</v>
      </c>
      <c r="F1391" s="139"/>
      <c r="G1391" s="140"/>
      <c r="H1391" s="139"/>
      <c r="I1391" s="141">
        <f t="shared" si="53"/>
        <v>-11.0268</v>
      </c>
      <c r="J1391" s="142"/>
      <c r="K1391" s="143"/>
      <c r="N1391" s="106"/>
      <c r="O1391" s="106"/>
      <c r="P1391" s="106"/>
      <c r="Q1391" s="106"/>
      <c r="R1391" s="106"/>
      <c r="S1391" s="106"/>
    </row>
    <row r="1392" spans="1:19" s="105" customFormat="1" ht="37.5">
      <c r="A1392" s="106"/>
      <c r="B1392" s="175" t="s">
        <v>173</v>
      </c>
      <c r="C1392" s="139"/>
      <c r="D1392" s="140"/>
      <c r="E1392" s="139">
        <v>614.4</v>
      </c>
      <c r="F1392" s="139"/>
      <c r="G1392" s="140"/>
      <c r="H1392" s="139">
        <v>1200</v>
      </c>
      <c r="I1392" s="141">
        <f t="shared" si="53"/>
        <v>585.6</v>
      </c>
      <c r="J1392" s="142">
        <f t="shared" si="52"/>
        <v>48.8</v>
      </c>
      <c r="K1392" s="175" t="s">
        <v>890</v>
      </c>
      <c r="N1392" s="106"/>
      <c r="O1392" s="106"/>
      <c r="P1392" s="106"/>
      <c r="Q1392" s="106"/>
      <c r="R1392" s="106"/>
      <c r="S1392" s="106"/>
    </row>
    <row r="1393" spans="1:19" s="105" customFormat="1" ht="56.25">
      <c r="A1393" s="106"/>
      <c r="B1393" s="175"/>
      <c r="C1393" s="139"/>
      <c r="D1393" s="140"/>
      <c r="E1393" s="139"/>
      <c r="F1393" s="139"/>
      <c r="G1393" s="140"/>
      <c r="H1393" s="139"/>
      <c r="I1393" s="141">
        <f t="shared" si="53"/>
        <v>0</v>
      </c>
      <c r="J1393" s="142"/>
      <c r="K1393" s="175" t="s">
        <v>891</v>
      </c>
      <c r="N1393" s="106"/>
      <c r="O1393" s="106"/>
      <c r="P1393" s="106"/>
      <c r="Q1393" s="106"/>
      <c r="R1393" s="106"/>
      <c r="S1393" s="106"/>
    </row>
    <row r="1394" spans="1:19" s="105" customFormat="1" ht="56.25">
      <c r="A1394" s="106"/>
      <c r="B1394" s="175"/>
      <c r="C1394" s="139"/>
      <c r="D1394" s="140"/>
      <c r="E1394" s="139"/>
      <c r="F1394" s="139"/>
      <c r="G1394" s="140"/>
      <c r="H1394" s="139"/>
      <c r="I1394" s="141">
        <f t="shared" si="53"/>
        <v>0</v>
      </c>
      <c r="J1394" s="142"/>
      <c r="K1394" s="175" t="s">
        <v>892</v>
      </c>
      <c r="N1394" s="106"/>
      <c r="O1394" s="106"/>
      <c r="P1394" s="106"/>
      <c r="Q1394" s="106"/>
      <c r="R1394" s="106"/>
      <c r="S1394" s="106"/>
    </row>
    <row r="1395" spans="1:19" s="105" customFormat="1" ht="37.5">
      <c r="A1395" s="106"/>
      <c r="B1395" s="175"/>
      <c r="C1395" s="139"/>
      <c r="D1395" s="140"/>
      <c r="E1395" s="139"/>
      <c r="F1395" s="139"/>
      <c r="G1395" s="140"/>
      <c r="H1395" s="139"/>
      <c r="I1395" s="141">
        <f t="shared" si="53"/>
        <v>0</v>
      </c>
      <c r="J1395" s="142"/>
      <c r="K1395" s="175" t="s">
        <v>893</v>
      </c>
      <c r="N1395" s="106"/>
      <c r="O1395" s="106"/>
      <c r="P1395" s="106"/>
      <c r="Q1395" s="106"/>
      <c r="R1395" s="106"/>
      <c r="S1395" s="106"/>
    </row>
    <row r="1396" spans="1:19" ht="93.75">
      <c r="B1396" s="175" t="s">
        <v>174</v>
      </c>
      <c r="C1396" s="139"/>
      <c r="D1396" s="140"/>
      <c r="E1396" s="139">
        <v>12.927099999999999</v>
      </c>
      <c r="F1396" s="139"/>
      <c r="G1396" s="140"/>
      <c r="H1396" s="139">
        <v>17.8</v>
      </c>
      <c r="I1396" s="141">
        <f t="shared" si="53"/>
        <v>4.8729000000000013</v>
      </c>
      <c r="J1396" s="142">
        <f t="shared" si="52"/>
        <v>27.375842696629221</v>
      </c>
      <c r="K1396" s="175" t="s">
        <v>894</v>
      </c>
    </row>
    <row r="1397" spans="1:19">
      <c r="B1397" s="175" t="s">
        <v>56</v>
      </c>
      <c r="C1397" s="139"/>
      <c r="D1397" s="140"/>
      <c r="E1397" s="139">
        <f>SUM(E1398:E1399)</f>
        <v>6.8900000000000006</v>
      </c>
      <c r="F1397" s="139"/>
      <c r="G1397" s="140"/>
      <c r="H1397" s="139">
        <f>SUM(H1398:H1403)</f>
        <v>72</v>
      </c>
      <c r="I1397" s="141">
        <f t="shared" si="53"/>
        <v>65.11</v>
      </c>
      <c r="J1397" s="142">
        <f t="shared" si="52"/>
        <v>90.430555555555557</v>
      </c>
      <c r="K1397" s="143"/>
    </row>
    <row r="1398" spans="1:19" ht="37.5">
      <c r="B1398" s="175" t="s">
        <v>895</v>
      </c>
      <c r="C1398" s="139"/>
      <c r="D1398" s="140"/>
      <c r="E1398" s="139">
        <v>3.2</v>
      </c>
      <c r="F1398" s="139"/>
      <c r="G1398" s="140"/>
      <c r="H1398" s="139">
        <v>3</v>
      </c>
      <c r="I1398" s="141">
        <f t="shared" si="53"/>
        <v>-0.20000000000000018</v>
      </c>
      <c r="J1398" s="142">
        <f t="shared" si="52"/>
        <v>-6.6666666666666723</v>
      </c>
      <c r="K1398" s="143"/>
    </row>
    <row r="1399" spans="1:19" ht="37.5">
      <c r="B1399" s="175" t="s">
        <v>896</v>
      </c>
      <c r="C1399" s="139"/>
      <c r="D1399" s="140"/>
      <c r="E1399" s="139">
        <v>3.69</v>
      </c>
      <c r="F1399" s="139"/>
      <c r="G1399" s="140"/>
      <c r="H1399" s="139">
        <v>4</v>
      </c>
      <c r="I1399" s="141">
        <f t="shared" si="53"/>
        <v>0.31000000000000005</v>
      </c>
      <c r="J1399" s="142">
        <f t="shared" si="52"/>
        <v>7.7500000000000018</v>
      </c>
      <c r="K1399" s="143"/>
    </row>
    <row r="1400" spans="1:19" ht="37.5">
      <c r="B1400" s="175" t="s">
        <v>897</v>
      </c>
      <c r="C1400" s="139"/>
      <c r="D1400" s="140"/>
      <c r="E1400" s="139"/>
      <c r="F1400" s="139"/>
      <c r="G1400" s="140"/>
      <c r="H1400" s="139">
        <v>1.2</v>
      </c>
      <c r="I1400" s="141">
        <f t="shared" si="53"/>
        <v>1.2</v>
      </c>
      <c r="J1400" s="142">
        <f t="shared" si="52"/>
        <v>100</v>
      </c>
      <c r="K1400" s="143"/>
    </row>
    <row r="1401" spans="1:19" ht="51" customHeight="1">
      <c r="B1401" s="175" t="s">
        <v>898</v>
      </c>
      <c r="C1401" s="139"/>
      <c r="D1401" s="140"/>
      <c r="E1401" s="139"/>
      <c r="F1401" s="139"/>
      <c r="G1401" s="140"/>
      <c r="H1401" s="139">
        <v>1.8</v>
      </c>
      <c r="I1401" s="141">
        <f t="shared" si="53"/>
        <v>1.8</v>
      </c>
      <c r="J1401" s="142">
        <f t="shared" si="52"/>
        <v>100</v>
      </c>
      <c r="K1401" s="143"/>
      <c r="L1401" s="339"/>
      <c r="M1401" s="292"/>
      <c r="N1401" s="21"/>
      <c r="O1401" s="292"/>
      <c r="P1401" s="292"/>
      <c r="Q1401" s="21"/>
      <c r="R1401" s="292"/>
      <c r="S1401" s="293"/>
    </row>
    <row r="1402" spans="1:19" ht="75" customHeight="1">
      <c r="B1402" s="175" t="s">
        <v>925</v>
      </c>
      <c r="C1402" s="139"/>
      <c r="D1402" s="140"/>
      <c r="E1402" s="139"/>
      <c r="F1402" s="139"/>
      <c r="G1402" s="140"/>
      <c r="H1402" s="139">
        <v>32.5</v>
      </c>
      <c r="I1402" s="141">
        <f t="shared" si="53"/>
        <v>32.5</v>
      </c>
      <c r="J1402" s="142">
        <f t="shared" si="52"/>
        <v>100</v>
      </c>
      <c r="K1402" s="143"/>
      <c r="L1402" s="339"/>
      <c r="M1402" s="292"/>
      <c r="N1402" s="21"/>
      <c r="O1402" s="292"/>
      <c r="P1402" s="292"/>
      <c r="Q1402" s="21"/>
      <c r="R1402" s="292"/>
      <c r="S1402" s="293"/>
    </row>
    <row r="1403" spans="1:19" ht="53.25" customHeight="1">
      <c r="B1403" s="175" t="s">
        <v>926</v>
      </c>
      <c r="C1403" s="139"/>
      <c r="D1403" s="140"/>
      <c r="E1403" s="139"/>
      <c r="F1403" s="139"/>
      <c r="G1403" s="140"/>
      <c r="H1403" s="139">
        <v>29.5</v>
      </c>
      <c r="I1403" s="141">
        <f t="shared" si="53"/>
        <v>29.5</v>
      </c>
      <c r="J1403" s="142">
        <f t="shared" si="52"/>
        <v>100</v>
      </c>
      <c r="K1403" s="143"/>
      <c r="L1403" s="339"/>
      <c r="M1403" s="292"/>
      <c r="N1403" s="21"/>
      <c r="O1403" s="292"/>
      <c r="P1403" s="292"/>
      <c r="Q1403" s="21"/>
      <c r="R1403" s="292"/>
      <c r="S1403" s="293"/>
    </row>
    <row r="1404" spans="1:19" ht="37.5">
      <c r="B1404" s="286" t="s">
        <v>176</v>
      </c>
      <c r="C1404" s="139"/>
      <c r="D1404" s="140"/>
      <c r="E1404" s="139">
        <f>+E1408+E1441+E1464+E1470</f>
        <v>10.2675</v>
      </c>
      <c r="F1404" s="139"/>
      <c r="G1404" s="140"/>
      <c r="H1404" s="139">
        <f>+H1408+H1441+H1464+H1470</f>
        <v>0</v>
      </c>
      <c r="I1404" s="141">
        <f t="shared" si="53"/>
        <v>-10.2675</v>
      </c>
      <c r="J1404" s="142">
        <v>0</v>
      </c>
      <c r="K1404" s="143"/>
    </row>
    <row r="1405" spans="1:19">
      <c r="B1405" s="335" t="s">
        <v>24</v>
      </c>
      <c r="C1405" s="139"/>
      <c r="D1405" s="140"/>
      <c r="E1405" s="139"/>
      <c r="F1405" s="139"/>
      <c r="G1405" s="140"/>
      <c r="H1405" s="139"/>
      <c r="I1405" s="141"/>
      <c r="J1405" s="142"/>
      <c r="K1405" s="143"/>
    </row>
    <row r="1406" spans="1:19" ht="32.25">
      <c r="B1406" s="325" t="s">
        <v>68</v>
      </c>
      <c r="C1406" s="336" t="s">
        <v>25</v>
      </c>
      <c r="D1406" s="337"/>
      <c r="E1406" s="336" t="s">
        <v>58</v>
      </c>
      <c r="F1406" s="336"/>
      <c r="G1406" s="337" t="s">
        <v>26</v>
      </c>
      <c r="H1406" s="336"/>
      <c r="I1406" s="141"/>
      <c r="J1406" s="142"/>
      <c r="K1406" s="338"/>
    </row>
    <row r="1407" spans="1:19" ht="32.25">
      <c r="B1407" s="325"/>
      <c r="C1407" s="336" t="s">
        <v>60</v>
      </c>
      <c r="D1407" s="337"/>
      <c r="E1407" s="336" t="s">
        <v>62</v>
      </c>
      <c r="F1407" s="336"/>
      <c r="G1407" s="337" t="s">
        <v>61</v>
      </c>
      <c r="H1407" s="336"/>
      <c r="I1407" s="141"/>
      <c r="J1407" s="142"/>
      <c r="K1407" s="338"/>
    </row>
    <row r="1408" spans="1:19">
      <c r="B1408" s="175" t="s">
        <v>38</v>
      </c>
      <c r="C1408" s="139"/>
      <c r="D1408" s="140"/>
      <c r="E1408" s="139">
        <f>+E1409+E1435</f>
        <v>10.2675</v>
      </c>
      <c r="F1408" s="139"/>
      <c r="G1408" s="140"/>
      <c r="H1408" s="139">
        <f>+H1409+H1435</f>
        <v>0</v>
      </c>
      <c r="I1408" s="141">
        <f t="shared" si="53"/>
        <v>-10.2675</v>
      </c>
      <c r="J1408" s="142"/>
      <c r="K1408" s="143"/>
    </row>
    <row r="1409" spans="1:19">
      <c r="B1409" s="175" t="s">
        <v>41</v>
      </c>
      <c r="C1409" s="139"/>
      <c r="D1409" s="140"/>
      <c r="E1409" s="139">
        <f>+E1410+E1413+E1427</f>
        <v>10.2675</v>
      </c>
      <c r="F1409" s="139"/>
      <c r="G1409" s="140"/>
      <c r="H1409" s="139">
        <f>+H1410+H1413+H1427</f>
        <v>0</v>
      </c>
      <c r="I1409" s="141">
        <f t="shared" si="53"/>
        <v>-10.2675</v>
      </c>
      <c r="J1409" s="142"/>
      <c r="K1409" s="143"/>
    </row>
    <row r="1410" spans="1:19">
      <c r="B1410" s="175" t="s">
        <v>42</v>
      </c>
      <c r="C1410" s="139"/>
      <c r="D1410" s="140"/>
      <c r="E1410" s="139">
        <f>SUM(E1411:E1411)</f>
        <v>0</v>
      </c>
      <c r="F1410" s="139"/>
      <c r="G1410" s="140"/>
      <c r="H1410" s="139">
        <f>SUM(H1411:H1411)</f>
        <v>0</v>
      </c>
      <c r="I1410" s="141">
        <f t="shared" si="53"/>
        <v>0</v>
      </c>
      <c r="J1410" s="142"/>
      <c r="K1410" s="143"/>
    </row>
    <row r="1411" spans="1:19">
      <c r="B1411" s="194" t="s">
        <v>112</v>
      </c>
      <c r="C1411" s="139"/>
      <c r="D1411" s="140"/>
      <c r="E1411" s="139"/>
      <c r="F1411" s="139"/>
      <c r="G1411" s="140"/>
      <c r="H1411" s="139"/>
      <c r="I1411" s="139"/>
      <c r="J1411" s="139"/>
      <c r="K1411" s="143"/>
    </row>
    <row r="1412" spans="1:19" s="105" customFormat="1">
      <c r="A1412" s="106"/>
      <c r="B1412" s="194"/>
      <c r="C1412" s="139"/>
      <c r="D1412" s="140"/>
      <c r="E1412" s="139"/>
      <c r="F1412" s="139"/>
      <c r="G1412" s="140"/>
      <c r="H1412" s="139"/>
      <c r="I1412" s="139"/>
      <c r="J1412" s="139"/>
      <c r="K1412" s="143"/>
      <c r="N1412" s="106"/>
      <c r="O1412" s="106"/>
      <c r="P1412" s="106"/>
      <c r="Q1412" s="106"/>
      <c r="R1412" s="106"/>
      <c r="S1412" s="106"/>
    </row>
    <row r="1413" spans="1:19" s="105" customFormat="1">
      <c r="A1413" s="106"/>
      <c r="B1413" s="175" t="s">
        <v>43</v>
      </c>
      <c r="C1413" s="139"/>
      <c r="D1413" s="140"/>
      <c r="E1413" s="139">
        <f>SUM(E1415:E1420)</f>
        <v>10.2675</v>
      </c>
      <c r="F1413" s="139"/>
      <c r="G1413" s="140"/>
      <c r="H1413" s="139">
        <f>SUM(H1415:H1420)</f>
        <v>0</v>
      </c>
      <c r="I1413" s="141">
        <f t="shared" si="53"/>
        <v>-10.2675</v>
      </c>
      <c r="J1413" s="142"/>
      <c r="K1413" s="143"/>
      <c r="N1413" s="106"/>
      <c r="O1413" s="106"/>
      <c r="P1413" s="106"/>
      <c r="Q1413" s="106"/>
      <c r="R1413" s="106"/>
      <c r="S1413" s="106"/>
    </row>
    <row r="1414" spans="1:19" s="105" customFormat="1">
      <c r="A1414" s="106"/>
      <c r="B1414" s="175" t="s">
        <v>19</v>
      </c>
      <c r="C1414" s="139"/>
      <c r="D1414" s="140"/>
      <c r="E1414" s="139"/>
      <c r="F1414" s="139"/>
      <c r="G1414" s="140"/>
      <c r="H1414" s="139"/>
      <c r="I1414" s="141">
        <f t="shared" si="53"/>
        <v>0</v>
      </c>
      <c r="J1414" s="142"/>
      <c r="K1414" s="143"/>
      <c r="N1414" s="106"/>
      <c r="O1414" s="106"/>
      <c r="P1414" s="106"/>
      <c r="Q1414" s="106"/>
      <c r="R1414" s="106"/>
      <c r="S1414" s="106"/>
    </row>
    <row r="1415" spans="1:19" s="105" customFormat="1">
      <c r="A1415" s="106"/>
      <c r="B1415" s="194" t="s">
        <v>85</v>
      </c>
      <c r="C1415" s="139"/>
      <c r="D1415" s="140"/>
      <c r="E1415" s="139">
        <v>0.80230000000000001</v>
      </c>
      <c r="F1415" s="139"/>
      <c r="G1415" s="140"/>
      <c r="H1415" s="139"/>
      <c r="I1415" s="141">
        <f t="shared" si="53"/>
        <v>-0.80230000000000001</v>
      </c>
      <c r="J1415" s="142"/>
      <c r="K1415" s="143"/>
      <c r="N1415" s="106"/>
      <c r="O1415" s="106"/>
      <c r="P1415" s="106"/>
      <c r="Q1415" s="106"/>
      <c r="R1415" s="106"/>
      <c r="S1415" s="106"/>
    </row>
    <row r="1416" spans="1:19" s="105" customFormat="1">
      <c r="A1416" s="106"/>
      <c r="B1416" s="194" t="s">
        <v>86</v>
      </c>
      <c r="C1416" s="139"/>
      <c r="D1416" s="140"/>
      <c r="E1416" s="139">
        <v>1.92</v>
      </c>
      <c r="F1416" s="139"/>
      <c r="G1416" s="140"/>
      <c r="H1416" s="139"/>
      <c r="I1416" s="141">
        <f t="shared" si="53"/>
        <v>-1.92</v>
      </c>
      <c r="J1416" s="142"/>
      <c r="K1416" s="143"/>
      <c r="N1416" s="106"/>
      <c r="O1416" s="106"/>
      <c r="P1416" s="106"/>
      <c r="Q1416" s="106"/>
      <c r="R1416" s="106"/>
      <c r="S1416" s="106"/>
    </row>
    <row r="1417" spans="1:19" s="105" customFormat="1">
      <c r="A1417" s="106"/>
      <c r="B1417" s="194" t="s">
        <v>157</v>
      </c>
      <c r="C1417" s="139"/>
      <c r="D1417" s="140"/>
      <c r="E1417" s="139">
        <v>2.0451999999999999</v>
      </c>
      <c r="F1417" s="139"/>
      <c r="G1417" s="140"/>
      <c r="H1417" s="139"/>
      <c r="I1417" s="141">
        <f t="shared" si="53"/>
        <v>-2.0451999999999999</v>
      </c>
      <c r="J1417" s="142"/>
      <c r="K1417" s="143"/>
      <c r="N1417" s="106"/>
      <c r="O1417" s="106"/>
      <c r="P1417" s="106"/>
      <c r="Q1417" s="106"/>
      <c r="R1417" s="106"/>
      <c r="S1417" s="106"/>
    </row>
    <row r="1418" spans="1:19" s="105" customFormat="1">
      <c r="A1418" s="106"/>
      <c r="B1418" s="194" t="s">
        <v>177</v>
      </c>
      <c r="C1418" s="139"/>
      <c r="D1418" s="140"/>
      <c r="E1418" s="139">
        <v>0.15</v>
      </c>
      <c r="F1418" s="139"/>
      <c r="G1418" s="140"/>
      <c r="H1418" s="139"/>
      <c r="I1418" s="141">
        <f t="shared" si="53"/>
        <v>-0.15</v>
      </c>
      <c r="J1418" s="142"/>
      <c r="K1418" s="143"/>
      <c r="N1418" s="106"/>
      <c r="O1418" s="106"/>
      <c r="P1418" s="106"/>
      <c r="Q1418" s="106"/>
      <c r="R1418" s="106"/>
      <c r="S1418" s="106"/>
    </row>
    <row r="1419" spans="1:19" s="105" customFormat="1" ht="37.5">
      <c r="A1419" s="106"/>
      <c r="B1419" s="194" t="s">
        <v>178</v>
      </c>
      <c r="C1419" s="139"/>
      <c r="D1419" s="140"/>
      <c r="E1419" s="139">
        <v>5.35</v>
      </c>
      <c r="F1419" s="139"/>
      <c r="G1419" s="140"/>
      <c r="H1419" s="139"/>
      <c r="I1419" s="141">
        <f t="shared" si="53"/>
        <v>-5.35</v>
      </c>
      <c r="J1419" s="142"/>
      <c r="K1419" s="143"/>
      <c r="N1419" s="106"/>
      <c r="O1419" s="106"/>
      <c r="P1419" s="106"/>
      <c r="Q1419" s="106"/>
      <c r="R1419" s="106"/>
      <c r="S1419" s="106"/>
    </row>
    <row r="1420" spans="1:19" s="105" customFormat="1" ht="40.5">
      <c r="A1420" s="106"/>
      <c r="B1420" s="175" t="s">
        <v>69</v>
      </c>
      <c r="C1420" s="139"/>
      <c r="D1420" s="140"/>
      <c r="E1420" s="139"/>
      <c r="F1420" s="139"/>
      <c r="G1420" s="140"/>
      <c r="H1420" s="139"/>
      <c r="I1420" s="141"/>
      <c r="J1420" s="142"/>
      <c r="K1420" s="143"/>
      <c r="N1420" s="106"/>
      <c r="O1420" s="106"/>
      <c r="P1420" s="106"/>
      <c r="Q1420" s="106"/>
      <c r="R1420" s="106"/>
      <c r="S1420" s="106"/>
    </row>
    <row r="1421" spans="1:19" s="105" customFormat="1">
      <c r="A1421" s="106"/>
      <c r="B1421" s="194" t="s">
        <v>2</v>
      </c>
      <c r="C1421" s="139"/>
      <c r="D1421" s="140"/>
      <c r="E1421" s="139"/>
      <c r="F1421" s="139"/>
      <c r="G1421" s="140"/>
      <c r="H1421" s="139"/>
      <c r="I1421" s="141"/>
      <c r="J1421" s="142"/>
      <c r="K1421" s="143"/>
      <c r="N1421" s="106"/>
      <c r="O1421" s="106"/>
      <c r="P1421" s="106"/>
      <c r="Q1421" s="106"/>
      <c r="R1421" s="106"/>
      <c r="S1421" s="106"/>
    </row>
    <row r="1422" spans="1:19" s="105" customFormat="1">
      <c r="A1422" s="106"/>
      <c r="B1422" s="194" t="s">
        <v>3</v>
      </c>
      <c r="C1422" s="139"/>
      <c r="D1422" s="140"/>
      <c r="E1422" s="139"/>
      <c r="F1422" s="139"/>
      <c r="G1422" s="140"/>
      <c r="H1422" s="139"/>
      <c r="I1422" s="141"/>
      <c r="J1422" s="142"/>
      <c r="K1422" s="143"/>
      <c r="N1422" s="106"/>
      <c r="O1422" s="106"/>
      <c r="P1422" s="106"/>
      <c r="Q1422" s="106"/>
      <c r="R1422" s="106"/>
      <c r="S1422" s="106"/>
    </row>
    <row r="1423" spans="1:19" s="105" customFormat="1">
      <c r="A1423" s="106"/>
      <c r="B1423" s="175" t="s">
        <v>22</v>
      </c>
      <c r="C1423" s="139"/>
      <c r="D1423" s="140"/>
      <c r="E1423" s="139"/>
      <c r="F1423" s="139"/>
      <c r="G1423" s="140"/>
      <c r="H1423" s="139"/>
      <c r="I1423" s="141"/>
      <c r="J1423" s="142"/>
      <c r="K1423" s="143"/>
      <c r="N1423" s="106"/>
      <c r="O1423" s="106"/>
      <c r="P1423" s="106"/>
      <c r="Q1423" s="106"/>
      <c r="R1423" s="106"/>
      <c r="S1423" s="106"/>
    </row>
    <row r="1424" spans="1:19" s="105" customFormat="1">
      <c r="A1424" s="106"/>
      <c r="B1424" s="194" t="s">
        <v>21</v>
      </c>
      <c r="C1424" s="139"/>
      <c r="D1424" s="140"/>
      <c r="E1424" s="139"/>
      <c r="F1424" s="139"/>
      <c r="G1424" s="140"/>
      <c r="H1424" s="139"/>
      <c r="I1424" s="141"/>
      <c r="J1424" s="142"/>
      <c r="K1424" s="143"/>
      <c r="N1424" s="106"/>
      <c r="O1424" s="106"/>
      <c r="P1424" s="106"/>
      <c r="Q1424" s="106"/>
      <c r="R1424" s="106"/>
      <c r="S1424" s="106"/>
    </row>
    <row r="1425" spans="1:19" s="105" customFormat="1">
      <c r="A1425" s="106"/>
      <c r="B1425" s="175" t="s">
        <v>20</v>
      </c>
      <c r="C1425" s="139"/>
      <c r="D1425" s="140"/>
      <c r="E1425" s="139"/>
      <c r="F1425" s="139"/>
      <c r="G1425" s="140"/>
      <c r="H1425" s="139"/>
      <c r="I1425" s="141"/>
      <c r="J1425" s="142"/>
      <c r="K1425" s="143"/>
      <c r="N1425" s="106"/>
      <c r="O1425" s="106"/>
      <c r="P1425" s="106"/>
      <c r="Q1425" s="106"/>
      <c r="R1425" s="106"/>
      <c r="S1425" s="106"/>
    </row>
    <row r="1426" spans="1:19" s="105" customFormat="1">
      <c r="A1426" s="106"/>
      <c r="B1426" s="194" t="s">
        <v>17</v>
      </c>
      <c r="C1426" s="139"/>
      <c r="D1426" s="140"/>
      <c r="E1426" s="139"/>
      <c r="F1426" s="139"/>
      <c r="G1426" s="140"/>
      <c r="H1426" s="139"/>
      <c r="I1426" s="141"/>
      <c r="J1426" s="142"/>
      <c r="K1426" s="143"/>
      <c r="N1426" s="106"/>
      <c r="O1426" s="106"/>
      <c r="P1426" s="106"/>
      <c r="Q1426" s="106"/>
      <c r="R1426" s="106"/>
      <c r="S1426" s="106"/>
    </row>
    <row r="1427" spans="1:19" s="105" customFormat="1">
      <c r="A1427" s="106"/>
      <c r="B1427" s="175" t="s">
        <v>44</v>
      </c>
      <c r="C1427" s="139"/>
      <c r="D1427" s="140"/>
      <c r="E1427" s="139">
        <f>SUM(E1428:E1433)</f>
        <v>0</v>
      </c>
      <c r="F1427" s="139"/>
      <c r="G1427" s="140"/>
      <c r="H1427" s="139">
        <f>SUM(H1428:H1433)</f>
        <v>0</v>
      </c>
      <c r="I1427" s="143"/>
      <c r="J1427" s="143"/>
      <c r="K1427" s="143"/>
      <c r="N1427" s="106"/>
      <c r="O1427" s="106"/>
      <c r="P1427" s="106"/>
      <c r="Q1427" s="106"/>
      <c r="R1427" s="106"/>
      <c r="S1427" s="106"/>
    </row>
    <row r="1428" spans="1:19" s="105" customFormat="1">
      <c r="A1428" s="106"/>
      <c r="B1428" s="194" t="s">
        <v>90</v>
      </c>
      <c r="C1428" s="139"/>
      <c r="D1428" s="140"/>
      <c r="E1428" s="139"/>
      <c r="F1428" s="139"/>
      <c r="G1428" s="140"/>
      <c r="H1428" s="139"/>
      <c r="I1428" s="143"/>
      <c r="J1428" s="143"/>
      <c r="K1428" s="143"/>
      <c r="N1428" s="106"/>
      <c r="O1428" s="106"/>
      <c r="P1428" s="106"/>
      <c r="Q1428" s="106"/>
      <c r="R1428" s="106"/>
      <c r="S1428" s="106"/>
    </row>
    <row r="1429" spans="1:19" s="105" customFormat="1">
      <c r="A1429" s="106"/>
      <c r="B1429" s="194" t="s">
        <v>91</v>
      </c>
      <c r="C1429" s="139"/>
      <c r="D1429" s="140"/>
      <c r="E1429" s="139"/>
      <c r="F1429" s="139"/>
      <c r="G1429" s="140"/>
      <c r="H1429" s="139"/>
      <c r="I1429" s="143"/>
      <c r="J1429" s="143"/>
      <c r="K1429" s="143"/>
      <c r="N1429" s="106"/>
      <c r="O1429" s="106"/>
      <c r="P1429" s="106"/>
      <c r="Q1429" s="106"/>
      <c r="R1429" s="106"/>
      <c r="S1429" s="106"/>
    </row>
    <row r="1430" spans="1:19" s="105" customFormat="1">
      <c r="A1430" s="106"/>
      <c r="B1430" s="194" t="s">
        <v>167</v>
      </c>
      <c r="C1430" s="139"/>
      <c r="D1430" s="140"/>
      <c r="E1430" s="139"/>
      <c r="F1430" s="139"/>
      <c r="G1430" s="140"/>
      <c r="H1430" s="139"/>
      <c r="I1430" s="143"/>
      <c r="J1430" s="143"/>
      <c r="K1430" s="143"/>
      <c r="N1430" s="106"/>
      <c r="O1430" s="106"/>
      <c r="P1430" s="106"/>
      <c r="Q1430" s="106"/>
      <c r="R1430" s="106"/>
      <c r="S1430" s="106"/>
    </row>
    <row r="1431" spans="1:19" s="105" customFormat="1">
      <c r="A1431" s="106"/>
      <c r="B1431" s="194" t="s">
        <v>168</v>
      </c>
      <c r="C1431" s="139"/>
      <c r="D1431" s="140"/>
      <c r="E1431" s="139"/>
      <c r="F1431" s="139"/>
      <c r="G1431" s="140"/>
      <c r="H1431" s="139"/>
      <c r="I1431" s="143"/>
      <c r="J1431" s="143"/>
      <c r="K1431" s="143"/>
      <c r="N1431" s="106"/>
      <c r="O1431" s="106"/>
      <c r="P1431" s="106"/>
      <c r="Q1431" s="106"/>
      <c r="R1431" s="106"/>
      <c r="S1431" s="106"/>
    </row>
    <row r="1432" spans="1:19" s="105" customFormat="1">
      <c r="A1432" s="106"/>
      <c r="B1432" s="194" t="s">
        <v>169</v>
      </c>
      <c r="C1432" s="139"/>
      <c r="D1432" s="140"/>
      <c r="E1432" s="139"/>
      <c r="F1432" s="139"/>
      <c r="G1432" s="140"/>
      <c r="H1432" s="139"/>
      <c r="I1432" s="143"/>
      <c r="J1432" s="143"/>
      <c r="K1432" s="143"/>
      <c r="N1432" s="106"/>
      <c r="O1432" s="106"/>
      <c r="P1432" s="106"/>
      <c r="Q1432" s="106"/>
      <c r="R1432" s="106"/>
      <c r="S1432" s="106"/>
    </row>
    <row r="1433" spans="1:19" s="105" customFormat="1">
      <c r="A1433" s="106"/>
      <c r="B1433" s="194" t="s">
        <v>138</v>
      </c>
      <c r="C1433" s="139"/>
      <c r="D1433" s="140"/>
      <c r="E1433" s="139"/>
      <c r="F1433" s="139"/>
      <c r="G1433" s="140"/>
      <c r="H1433" s="139"/>
      <c r="I1433" s="143"/>
      <c r="J1433" s="143"/>
      <c r="K1433" s="143"/>
      <c r="N1433" s="106"/>
      <c r="O1433" s="106"/>
      <c r="P1433" s="106"/>
      <c r="Q1433" s="106"/>
      <c r="R1433" s="106"/>
      <c r="S1433" s="106"/>
    </row>
    <row r="1434" spans="1:19" s="105" customFormat="1">
      <c r="A1434" s="106"/>
      <c r="B1434" s="194"/>
      <c r="C1434" s="139"/>
      <c r="D1434" s="140"/>
      <c r="E1434" s="139"/>
      <c r="F1434" s="139"/>
      <c r="G1434" s="140"/>
      <c r="H1434" s="139"/>
      <c r="I1434" s="143"/>
      <c r="J1434" s="143"/>
      <c r="K1434" s="143"/>
      <c r="N1434" s="106"/>
      <c r="O1434" s="106"/>
      <c r="P1434" s="106"/>
      <c r="Q1434" s="106"/>
      <c r="R1434" s="106"/>
      <c r="S1434" s="106"/>
    </row>
    <row r="1435" spans="1:19" s="105" customFormat="1">
      <c r="A1435" s="106"/>
      <c r="B1435" s="175" t="s">
        <v>45</v>
      </c>
      <c r="C1435" s="139"/>
      <c r="D1435" s="140"/>
      <c r="E1435" s="139">
        <f>SUM(E1436:E1440)</f>
        <v>0</v>
      </c>
      <c r="F1435" s="139"/>
      <c r="G1435" s="140"/>
      <c r="H1435" s="139">
        <f>SUM(H1436:H1440)</f>
        <v>0</v>
      </c>
      <c r="I1435" s="143"/>
      <c r="J1435" s="143"/>
      <c r="K1435" s="143"/>
      <c r="N1435" s="106"/>
      <c r="O1435" s="106"/>
      <c r="P1435" s="106"/>
      <c r="Q1435" s="106"/>
      <c r="R1435" s="106"/>
      <c r="S1435" s="106"/>
    </row>
    <row r="1436" spans="1:19" s="105" customFormat="1">
      <c r="A1436" s="106"/>
      <c r="B1436" s="194" t="s">
        <v>106</v>
      </c>
      <c r="C1436" s="139"/>
      <c r="D1436" s="140"/>
      <c r="E1436" s="139"/>
      <c r="F1436" s="139"/>
      <c r="G1436" s="140"/>
      <c r="H1436" s="139"/>
      <c r="I1436" s="141"/>
      <c r="J1436" s="142"/>
      <c r="K1436" s="143"/>
      <c r="N1436" s="106"/>
      <c r="O1436" s="106"/>
      <c r="P1436" s="106"/>
      <c r="Q1436" s="106"/>
      <c r="R1436" s="106"/>
      <c r="S1436" s="106"/>
    </row>
    <row r="1437" spans="1:19" s="105" customFormat="1">
      <c r="A1437" s="106"/>
      <c r="B1437" s="194" t="s">
        <v>107</v>
      </c>
      <c r="C1437" s="139"/>
      <c r="D1437" s="140"/>
      <c r="E1437" s="139"/>
      <c r="F1437" s="139"/>
      <c r="G1437" s="140"/>
      <c r="H1437" s="139"/>
      <c r="I1437" s="141"/>
      <c r="J1437" s="142"/>
      <c r="K1437" s="143"/>
      <c r="N1437" s="106"/>
      <c r="O1437" s="106"/>
      <c r="P1437" s="106"/>
      <c r="Q1437" s="106"/>
      <c r="R1437" s="106"/>
      <c r="S1437" s="106"/>
    </row>
    <row r="1438" spans="1:19" s="105" customFormat="1">
      <c r="A1438" s="106"/>
      <c r="B1438" s="194" t="s">
        <v>108</v>
      </c>
      <c r="C1438" s="139"/>
      <c r="D1438" s="140"/>
      <c r="E1438" s="139"/>
      <c r="F1438" s="139"/>
      <c r="G1438" s="140"/>
      <c r="H1438" s="139"/>
      <c r="I1438" s="141"/>
      <c r="J1438" s="142"/>
      <c r="K1438" s="143"/>
      <c r="N1438" s="106"/>
      <c r="O1438" s="106"/>
      <c r="P1438" s="106"/>
      <c r="Q1438" s="106"/>
      <c r="R1438" s="106"/>
      <c r="S1438" s="106"/>
    </row>
    <row r="1439" spans="1:19" s="105" customFormat="1">
      <c r="A1439" s="106"/>
      <c r="B1439" s="194" t="s">
        <v>109</v>
      </c>
      <c r="C1439" s="139"/>
      <c r="D1439" s="140"/>
      <c r="E1439" s="139"/>
      <c r="F1439" s="139"/>
      <c r="G1439" s="140"/>
      <c r="H1439" s="139"/>
      <c r="I1439" s="141"/>
      <c r="J1439" s="142"/>
      <c r="K1439" s="143"/>
      <c r="N1439" s="106"/>
      <c r="O1439" s="106"/>
      <c r="P1439" s="106"/>
      <c r="Q1439" s="106"/>
      <c r="R1439" s="106"/>
      <c r="S1439" s="106"/>
    </row>
    <row r="1440" spans="1:19" s="105" customFormat="1">
      <c r="A1440" s="106"/>
      <c r="B1440" s="194" t="s">
        <v>111</v>
      </c>
      <c r="C1440" s="139"/>
      <c r="D1440" s="140"/>
      <c r="E1440" s="139"/>
      <c r="F1440" s="139"/>
      <c r="G1440" s="140"/>
      <c r="H1440" s="139"/>
      <c r="I1440" s="141"/>
      <c r="J1440" s="142"/>
      <c r="K1440" s="143"/>
      <c r="N1440" s="106"/>
      <c r="O1440" s="106"/>
      <c r="P1440" s="106"/>
      <c r="Q1440" s="106"/>
      <c r="R1440" s="106"/>
      <c r="S1440" s="106"/>
    </row>
    <row r="1441" spans="1:19" s="105" customFormat="1">
      <c r="A1441" s="106"/>
      <c r="B1441" s="175" t="s">
        <v>46</v>
      </c>
      <c r="C1441" s="139"/>
      <c r="D1441" s="140"/>
      <c r="E1441" s="139">
        <f>+E1442+E1453</f>
        <v>0</v>
      </c>
      <c r="F1441" s="139"/>
      <c r="G1441" s="140"/>
      <c r="H1441" s="139">
        <f>+H1442+H1453</f>
        <v>0</v>
      </c>
      <c r="I1441" s="143"/>
      <c r="J1441" s="143"/>
      <c r="K1441" s="143"/>
      <c r="N1441" s="106"/>
      <c r="O1441" s="106"/>
      <c r="P1441" s="106"/>
      <c r="Q1441" s="106"/>
      <c r="R1441" s="106"/>
      <c r="S1441" s="106"/>
    </row>
    <row r="1442" spans="1:19" s="105" customFormat="1">
      <c r="A1442" s="106"/>
      <c r="B1442" s="175" t="s">
        <v>47</v>
      </c>
      <c r="C1442" s="139"/>
      <c r="D1442" s="140"/>
      <c r="E1442" s="139">
        <f>+E1444</f>
        <v>0</v>
      </c>
      <c r="F1442" s="139"/>
      <c r="G1442" s="140"/>
      <c r="H1442" s="139">
        <f>+H1444</f>
        <v>0</v>
      </c>
      <c r="I1442" s="143"/>
      <c r="J1442" s="143"/>
      <c r="K1442" s="143"/>
      <c r="N1442" s="106"/>
      <c r="O1442" s="106"/>
      <c r="P1442" s="106"/>
      <c r="Q1442" s="106"/>
      <c r="R1442" s="106"/>
      <c r="S1442" s="106"/>
    </row>
    <row r="1443" spans="1:19" s="105" customFormat="1">
      <c r="A1443" s="106"/>
      <c r="B1443" s="175" t="s">
        <v>19</v>
      </c>
      <c r="C1443" s="139"/>
      <c r="D1443" s="140"/>
      <c r="E1443" s="139"/>
      <c r="F1443" s="139"/>
      <c r="G1443" s="140"/>
      <c r="H1443" s="139"/>
      <c r="I1443" s="143"/>
      <c r="J1443" s="143"/>
      <c r="K1443" s="143"/>
      <c r="N1443" s="106"/>
      <c r="O1443" s="106"/>
      <c r="P1443" s="106"/>
      <c r="Q1443" s="106"/>
      <c r="R1443" s="106"/>
      <c r="S1443" s="106"/>
    </row>
    <row r="1444" spans="1:19" s="105" customFormat="1">
      <c r="A1444" s="106"/>
      <c r="B1444" s="175" t="s">
        <v>110</v>
      </c>
      <c r="C1444" s="139"/>
      <c r="D1444" s="140"/>
      <c r="E1444" s="139"/>
      <c r="F1444" s="139"/>
      <c r="G1444" s="140"/>
      <c r="H1444" s="139"/>
      <c r="I1444" s="143"/>
      <c r="J1444" s="143"/>
      <c r="K1444" s="143"/>
      <c r="N1444" s="106"/>
      <c r="O1444" s="106"/>
      <c r="P1444" s="106"/>
      <c r="Q1444" s="106"/>
      <c r="R1444" s="106"/>
      <c r="S1444" s="106"/>
    </row>
    <row r="1445" spans="1:19" s="105" customFormat="1">
      <c r="A1445" s="106"/>
      <c r="B1445" s="194" t="s">
        <v>17</v>
      </c>
      <c r="C1445" s="139"/>
      <c r="D1445" s="140"/>
      <c r="E1445" s="139"/>
      <c r="F1445" s="139"/>
      <c r="G1445" s="140"/>
      <c r="H1445" s="139"/>
      <c r="I1445" s="141"/>
      <c r="J1445" s="142"/>
      <c r="K1445" s="143"/>
      <c r="N1445" s="106"/>
      <c r="O1445" s="106"/>
      <c r="P1445" s="106"/>
      <c r="Q1445" s="106"/>
      <c r="R1445" s="106"/>
      <c r="S1445" s="106"/>
    </row>
    <row r="1446" spans="1:19" s="105" customFormat="1">
      <c r="A1446" s="106"/>
      <c r="B1446" s="194" t="s">
        <v>18</v>
      </c>
      <c r="C1446" s="139"/>
      <c r="D1446" s="140"/>
      <c r="E1446" s="139"/>
      <c r="F1446" s="139"/>
      <c r="G1446" s="140"/>
      <c r="H1446" s="139"/>
      <c r="I1446" s="141"/>
      <c r="J1446" s="142"/>
      <c r="K1446" s="143"/>
      <c r="N1446" s="106"/>
      <c r="O1446" s="106"/>
      <c r="P1446" s="106"/>
      <c r="Q1446" s="106"/>
      <c r="R1446" s="106"/>
      <c r="S1446" s="106"/>
    </row>
    <row r="1447" spans="1:19" s="105" customFormat="1">
      <c r="A1447" s="106"/>
      <c r="B1447" s="175" t="s">
        <v>22</v>
      </c>
      <c r="C1447" s="139"/>
      <c r="D1447" s="140"/>
      <c r="E1447" s="139"/>
      <c r="F1447" s="139"/>
      <c r="G1447" s="140"/>
      <c r="H1447" s="139"/>
      <c r="I1447" s="141"/>
      <c r="J1447" s="142"/>
      <c r="K1447" s="143"/>
      <c r="N1447" s="106"/>
      <c r="O1447" s="106"/>
      <c r="P1447" s="106"/>
      <c r="Q1447" s="106"/>
      <c r="R1447" s="106"/>
      <c r="S1447" s="106"/>
    </row>
    <row r="1448" spans="1:19" s="105" customFormat="1">
      <c r="A1448" s="106"/>
      <c r="B1448" s="175" t="s">
        <v>48</v>
      </c>
      <c r="C1448" s="139"/>
      <c r="D1448" s="140"/>
      <c r="E1448" s="139"/>
      <c r="F1448" s="139"/>
      <c r="G1448" s="140"/>
      <c r="H1448" s="139"/>
      <c r="I1448" s="141"/>
      <c r="J1448" s="142"/>
      <c r="K1448" s="143"/>
      <c r="N1448" s="106"/>
      <c r="O1448" s="106"/>
      <c r="P1448" s="106"/>
      <c r="Q1448" s="106"/>
      <c r="R1448" s="106"/>
      <c r="S1448" s="106"/>
    </row>
    <row r="1449" spans="1:19" s="105" customFormat="1">
      <c r="A1449" s="106"/>
      <c r="B1449" s="194" t="s">
        <v>23</v>
      </c>
      <c r="C1449" s="139"/>
      <c r="D1449" s="140"/>
      <c r="E1449" s="139"/>
      <c r="F1449" s="139"/>
      <c r="G1449" s="140"/>
      <c r="H1449" s="139"/>
      <c r="I1449" s="141"/>
      <c r="J1449" s="142"/>
      <c r="K1449" s="143"/>
      <c r="N1449" s="106"/>
      <c r="O1449" s="106"/>
      <c r="P1449" s="106"/>
      <c r="Q1449" s="106"/>
      <c r="R1449" s="106"/>
      <c r="S1449" s="106"/>
    </row>
    <row r="1450" spans="1:19" s="105" customFormat="1">
      <c r="A1450" s="106"/>
      <c r="B1450" s="175" t="s">
        <v>20</v>
      </c>
      <c r="C1450" s="139"/>
      <c r="D1450" s="140"/>
      <c r="E1450" s="139"/>
      <c r="F1450" s="139"/>
      <c r="G1450" s="140"/>
      <c r="H1450" s="139"/>
      <c r="I1450" s="141"/>
      <c r="J1450" s="142"/>
      <c r="K1450" s="143"/>
      <c r="N1450" s="106"/>
      <c r="O1450" s="106"/>
      <c r="P1450" s="106"/>
      <c r="Q1450" s="106"/>
      <c r="R1450" s="106"/>
      <c r="S1450" s="106"/>
    </row>
    <row r="1451" spans="1:19" s="105" customFormat="1">
      <c r="A1451" s="106"/>
      <c r="B1451" s="175" t="s">
        <v>48</v>
      </c>
      <c r="C1451" s="139"/>
      <c r="D1451" s="140"/>
      <c r="E1451" s="139"/>
      <c r="F1451" s="139"/>
      <c r="G1451" s="140"/>
      <c r="H1451" s="139"/>
      <c r="I1451" s="141"/>
      <c r="J1451" s="142"/>
      <c r="K1451" s="143"/>
      <c r="N1451" s="106"/>
      <c r="O1451" s="106"/>
      <c r="P1451" s="106"/>
      <c r="Q1451" s="106"/>
      <c r="R1451" s="106"/>
      <c r="S1451" s="106"/>
    </row>
    <row r="1452" spans="1:19" s="105" customFormat="1">
      <c r="A1452" s="106"/>
      <c r="B1452" s="194" t="s">
        <v>23</v>
      </c>
      <c r="C1452" s="139"/>
      <c r="D1452" s="140"/>
      <c r="E1452" s="139"/>
      <c r="F1452" s="139"/>
      <c r="G1452" s="140"/>
      <c r="H1452" s="139"/>
      <c r="I1452" s="141"/>
      <c r="J1452" s="142"/>
      <c r="K1452" s="143"/>
      <c r="N1452" s="106"/>
      <c r="O1452" s="106"/>
      <c r="P1452" s="106"/>
      <c r="Q1452" s="106"/>
      <c r="R1452" s="106"/>
      <c r="S1452" s="106"/>
    </row>
    <row r="1453" spans="1:19" s="105" customFormat="1">
      <c r="A1453" s="106"/>
      <c r="B1453" s="175" t="s">
        <v>49</v>
      </c>
      <c r="C1453" s="139"/>
      <c r="D1453" s="140"/>
      <c r="E1453" s="139">
        <f>+E1455</f>
        <v>0</v>
      </c>
      <c r="F1453" s="139"/>
      <c r="G1453" s="140"/>
      <c r="H1453" s="139">
        <f>+H1455</f>
        <v>0</v>
      </c>
      <c r="I1453" s="143"/>
      <c r="J1453" s="143"/>
      <c r="K1453" s="143"/>
      <c r="N1453" s="106"/>
      <c r="O1453" s="106"/>
      <c r="P1453" s="106"/>
      <c r="Q1453" s="106"/>
      <c r="R1453" s="106"/>
      <c r="S1453" s="106"/>
    </row>
    <row r="1454" spans="1:19" s="105" customFormat="1">
      <c r="A1454" s="106"/>
      <c r="B1454" s="175" t="s">
        <v>19</v>
      </c>
      <c r="C1454" s="139"/>
      <c r="D1454" s="140"/>
      <c r="E1454" s="139"/>
      <c r="F1454" s="139"/>
      <c r="G1454" s="140"/>
      <c r="H1454" s="139"/>
      <c r="I1454" s="143"/>
      <c r="J1454" s="143"/>
      <c r="K1454" s="143"/>
      <c r="N1454" s="106"/>
      <c r="O1454" s="106"/>
      <c r="P1454" s="106"/>
      <c r="Q1454" s="106"/>
      <c r="R1454" s="106"/>
      <c r="S1454" s="106"/>
    </row>
    <row r="1455" spans="1:19" s="105" customFormat="1">
      <c r="A1455" s="106"/>
      <c r="B1455" s="175" t="s">
        <v>50</v>
      </c>
      <c r="C1455" s="139"/>
      <c r="D1455" s="140"/>
      <c r="E1455" s="139"/>
      <c r="F1455" s="139"/>
      <c r="G1455" s="140"/>
      <c r="H1455" s="139"/>
      <c r="I1455" s="143"/>
      <c r="J1455" s="143"/>
      <c r="K1455" s="143"/>
      <c r="N1455" s="106"/>
      <c r="O1455" s="106"/>
      <c r="P1455" s="106"/>
      <c r="Q1455" s="106"/>
      <c r="R1455" s="106"/>
      <c r="S1455" s="106"/>
    </row>
    <row r="1456" spans="1:19" s="105" customFormat="1" ht="27.75" customHeight="1">
      <c r="A1456" s="106"/>
      <c r="B1456" s="194" t="s">
        <v>17</v>
      </c>
      <c r="C1456" s="139"/>
      <c r="D1456" s="140"/>
      <c r="E1456" s="139"/>
      <c r="F1456" s="139"/>
      <c r="G1456" s="140"/>
      <c r="H1456" s="139"/>
      <c r="I1456" s="141"/>
      <c r="J1456" s="142"/>
      <c r="K1456" s="143"/>
      <c r="N1456" s="106"/>
      <c r="O1456" s="106"/>
      <c r="P1456" s="106"/>
      <c r="Q1456" s="106"/>
      <c r="R1456" s="106"/>
      <c r="S1456" s="106"/>
    </row>
    <row r="1457" spans="1:19" s="105" customFormat="1" ht="27.75" customHeight="1">
      <c r="A1457" s="106"/>
      <c r="B1457" s="194" t="s">
        <v>18</v>
      </c>
      <c r="C1457" s="139"/>
      <c r="D1457" s="140"/>
      <c r="E1457" s="139"/>
      <c r="F1457" s="139"/>
      <c r="G1457" s="140"/>
      <c r="H1457" s="139"/>
      <c r="I1457" s="141"/>
      <c r="J1457" s="142"/>
      <c r="K1457" s="143"/>
      <c r="N1457" s="106"/>
      <c r="O1457" s="106"/>
      <c r="P1457" s="106"/>
      <c r="Q1457" s="106"/>
      <c r="R1457" s="106"/>
      <c r="S1457" s="106"/>
    </row>
    <row r="1458" spans="1:19" s="105" customFormat="1">
      <c r="A1458" s="106"/>
      <c r="B1458" s="175" t="s">
        <v>22</v>
      </c>
      <c r="C1458" s="139"/>
      <c r="D1458" s="140"/>
      <c r="E1458" s="139"/>
      <c r="F1458" s="139"/>
      <c r="G1458" s="140"/>
      <c r="H1458" s="139"/>
      <c r="I1458" s="141"/>
      <c r="J1458" s="142"/>
      <c r="K1458" s="143"/>
      <c r="N1458" s="106"/>
      <c r="O1458" s="106"/>
      <c r="P1458" s="106"/>
      <c r="Q1458" s="106"/>
      <c r="R1458" s="106"/>
      <c r="S1458" s="106"/>
    </row>
    <row r="1459" spans="1:19" s="105" customFormat="1">
      <c r="A1459" s="106"/>
      <c r="B1459" s="175" t="s">
        <v>51</v>
      </c>
      <c r="C1459" s="139"/>
      <c r="D1459" s="140"/>
      <c r="E1459" s="139"/>
      <c r="F1459" s="139"/>
      <c r="G1459" s="140"/>
      <c r="H1459" s="139"/>
      <c r="I1459" s="141"/>
      <c r="J1459" s="142"/>
      <c r="K1459" s="143"/>
      <c r="N1459" s="106"/>
      <c r="O1459" s="106"/>
      <c r="P1459" s="106"/>
      <c r="Q1459" s="106"/>
      <c r="R1459" s="106"/>
      <c r="S1459" s="106"/>
    </row>
    <row r="1460" spans="1:19" s="105" customFormat="1">
      <c r="A1460" s="106"/>
      <c r="B1460" s="194" t="s">
        <v>23</v>
      </c>
      <c r="C1460" s="139"/>
      <c r="D1460" s="140"/>
      <c r="E1460" s="139"/>
      <c r="F1460" s="139"/>
      <c r="G1460" s="140"/>
      <c r="H1460" s="139"/>
      <c r="I1460" s="141"/>
      <c r="J1460" s="142"/>
      <c r="K1460" s="143"/>
      <c r="N1460" s="106"/>
      <c r="O1460" s="106"/>
      <c r="P1460" s="106"/>
      <c r="Q1460" s="106"/>
      <c r="R1460" s="106"/>
      <c r="S1460" s="106"/>
    </row>
    <row r="1461" spans="1:19" s="105" customFormat="1">
      <c r="A1461" s="106"/>
      <c r="B1461" s="175" t="s">
        <v>20</v>
      </c>
      <c r="C1461" s="139"/>
      <c r="D1461" s="140"/>
      <c r="E1461" s="139"/>
      <c r="F1461" s="139"/>
      <c r="G1461" s="140"/>
      <c r="H1461" s="139"/>
      <c r="I1461" s="141"/>
      <c r="J1461" s="142"/>
      <c r="K1461" s="143"/>
      <c r="N1461" s="106"/>
      <c r="O1461" s="106"/>
      <c r="P1461" s="106"/>
      <c r="Q1461" s="106"/>
      <c r="R1461" s="106"/>
      <c r="S1461" s="106"/>
    </row>
    <row r="1462" spans="1:19" s="105" customFormat="1">
      <c r="A1462" s="106"/>
      <c r="B1462" s="175" t="s">
        <v>51</v>
      </c>
      <c r="C1462" s="139"/>
      <c r="D1462" s="140"/>
      <c r="E1462" s="139"/>
      <c r="F1462" s="139"/>
      <c r="G1462" s="140"/>
      <c r="H1462" s="139"/>
      <c r="I1462" s="141"/>
      <c r="J1462" s="142"/>
      <c r="K1462" s="143"/>
      <c r="N1462" s="106"/>
      <c r="O1462" s="106"/>
      <c r="P1462" s="106"/>
      <c r="Q1462" s="106"/>
      <c r="R1462" s="106"/>
      <c r="S1462" s="106"/>
    </row>
    <row r="1463" spans="1:19" s="105" customFormat="1">
      <c r="A1463" s="106"/>
      <c r="B1463" s="194" t="s">
        <v>23</v>
      </c>
      <c r="C1463" s="139"/>
      <c r="D1463" s="140"/>
      <c r="E1463" s="139"/>
      <c r="F1463" s="139"/>
      <c r="G1463" s="140"/>
      <c r="H1463" s="139"/>
      <c r="I1463" s="141"/>
      <c r="J1463" s="142"/>
      <c r="K1463" s="143"/>
      <c r="N1463" s="106"/>
      <c r="O1463" s="106"/>
      <c r="P1463" s="106"/>
      <c r="Q1463" s="106"/>
      <c r="R1463" s="106"/>
      <c r="S1463" s="106"/>
    </row>
    <row r="1464" spans="1:19" s="105" customFormat="1">
      <c r="A1464" s="106"/>
      <c r="B1464" s="175" t="s">
        <v>53</v>
      </c>
      <c r="C1464" s="139"/>
      <c r="D1464" s="140"/>
      <c r="E1464" s="139">
        <f>SUM(E1466:E1469)</f>
        <v>0</v>
      </c>
      <c r="F1464" s="139"/>
      <c r="G1464" s="140"/>
      <c r="H1464" s="139">
        <f>SUM(H1466:H1469)</f>
        <v>0</v>
      </c>
      <c r="I1464" s="143"/>
      <c r="J1464" s="143"/>
      <c r="K1464" s="143"/>
      <c r="N1464" s="106"/>
      <c r="O1464" s="106"/>
      <c r="P1464" s="106"/>
      <c r="Q1464" s="106"/>
      <c r="R1464" s="106"/>
      <c r="S1464" s="106"/>
    </row>
    <row r="1465" spans="1:19" s="105" customFormat="1">
      <c r="A1465" s="106"/>
      <c r="B1465" s="175" t="s">
        <v>52</v>
      </c>
      <c r="C1465" s="139"/>
      <c r="D1465" s="140"/>
      <c r="E1465" s="139"/>
      <c r="F1465" s="139"/>
      <c r="G1465" s="140"/>
      <c r="H1465" s="139"/>
      <c r="I1465" s="143"/>
      <c r="J1465" s="143"/>
      <c r="K1465" s="143"/>
      <c r="N1465" s="106"/>
      <c r="O1465" s="106"/>
      <c r="P1465" s="106"/>
      <c r="Q1465" s="106"/>
      <c r="R1465" s="106"/>
      <c r="S1465" s="106"/>
    </row>
    <row r="1466" spans="1:19" s="105" customFormat="1" ht="56.25">
      <c r="A1466" s="106"/>
      <c r="B1466" s="175" t="s">
        <v>170</v>
      </c>
      <c r="C1466" s="139"/>
      <c r="D1466" s="140"/>
      <c r="E1466" s="139"/>
      <c r="F1466" s="139"/>
      <c r="G1466" s="140"/>
      <c r="H1466" s="139"/>
      <c r="I1466" s="141"/>
      <c r="J1466" s="142"/>
      <c r="K1466" s="143"/>
      <c r="N1466" s="106"/>
      <c r="O1466" s="106"/>
      <c r="P1466" s="106"/>
      <c r="Q1466" s="106"/>
      <c r="R1466" s="106"/>
      <c r="S1466" s="106"/>
    </row>
    <row r="1467" spans="1:19" s="105" customFormat="1" ht="37.5">
      <c r="A1467" s="106"/>
      <c r="B1467" s="175" t="s">
        <v>172</v>
      </c>
      <c r="C1467" s="139"/>
      <c r="D1467" s="140"/>
      <c r="E1467" s="139"/>
      <c r="F1467" s="139"/>
      <c r="G1467" s="140"/>
      <c r="H1467" s="139"/>
      <c r="I1467" s="141"/>
      <c r="J1467" s="142"/>
      <c r="K1467" s="143"/>
      <c r="N1467" s="106"/>
      <c r="O1467" s="106"/>
      <c r="P1467" s="106"/>
      <c r="Q1467" s="106"/>
      <c r="R1467" s="106"/>
      <c r="S1467" s="106"/>
    </row>
    <row r="1468" spans="1:19" s="105" customFormat="1">
      <c r="A1468" s="106"/>
      <c r="B1468" s="175" t="s">
        <v>173</v>
      </c>
      <c r="C1468" s="139"/>
      <c r="D1468" s="140"/>
      <c r="E1468" s="139"/>
      <c r="F1468" s="139"/>
      <c r="G1468" s="140"/>
      <c r="H1468" s="139"/>
      <c r="I1468" s="141"/>
      <c r="J1468" s="142"/>
      <c r="K1468" s="143"/>
      <c r="N1468" s="106"/>
      <c r="O1468" s="106"/>
      <c r="P1468" s="106"/>
      <c r="Q1468" s="106"/>
      <c r="R1468" s="106"/>
      <c r="S1468" s="106"/>
    </row>
    <row r="1469" spans="1:19" s="105" customFormat="1" ht="37.5">
      <c r="A1469" s="106"/>
      <c r="B1469" s="175" t="s">
        <v>174</v>
      </c>
      <c r="C1469" s="139"/>
      <c r="D1469" s="140"/>
      <c r="E1469" s="139"/>
      <c r="F1469" s="139"/>
      <c r="G1469" s="140"/>
      <c r="H1469" s="139"/>
      <c r="I1469" s="141"/>
      <c r="J1469" s="142"/>
      <c r="K1469" s="143"/>
      <c r="N1469" s="106"/>
      <c r="O1469" s="106"/>
      <c r="P1469" s="106"/>
      <c r="Q1469" s="106"/>
      <c r="R1469" s="106"/>
      <c r="S1469" s="106"/>
    </row>
    <row r="1470" spans="1:19" s="105" customFormat="1">
      <c r="A1470" s="106"/>
      <c r="B1470" s="175" t="s">
        <v>56</v>
      </c>
      <c r="C1470" s="139"/>
      <c r="D1470" s="140"/>
      <c r="E1470" s="139">
        <f>SUM(E1471:E1472)</f>
        <v>0</v>
      </c>
      <c r="F1470" s="139"/>
      <c r="G1470" s="140"/>
      <c r="H1470" s="139">
        <f>SUM(H1471:H1472)</f>
        <v>0</v>
      </c>
      <c r="I1470" s="143"/>
      <c r="J1470" s="143"/>
      <c r="K1470" s="143"/>
      <c r="N1470" s="106"/>
      <c r="O1470" s="106"/>
      <c r="P1470" s="106"/>
      <c r="Q1470" s="106"/>
      <c r="R1470" s="106"/>
      <c r="S1470" s="106"/>
    </row>
    <row r="1471" spans="1:19" s="105" customFormat="1" ht="27" customHeight="1">
      <c r="A1471" s="106"/>
      <c r="B1471" s="175" t="s">
        <v>927</v>
      </c>
      <c r="C1471" s="139"/>
      <c r="D1471" s="140"/>
      <c r="E1471" s="139"/>
      <c r="F1471" s="139"/>
      <c r="G1471" s="140"/>
      <c r="H1471" s="139"/>
      <c r="I1471" s="141"/>
      <c r="J1471" s="142"/>
      <c r="K1471" s="143"/>
      <c r="N1471" s="106"/>
      <c r="O1471" s="106"/>
      <c r="P1471" s="106"/>
      <c r="Q1471" s="106"/>
      <c r="R1471" s="106"/>
      <c r="S1471" s="106"/>
    </row>
    <row r="1472" spans="1:19" s="105" customFormat="1" ht="37.5">
      <c r="A1472" s="106"/>
      <c r="B1472" s="175" t="s">
        <v>175</v>
      </c>
      <c r="C1472" s="139"/>
      <c r="D1472" s="140"/>
      <c r="E1472" s="139"/>
      <c r="F1472" s="139"/>
      <c r="G1472" s="140"/>
      <c r="H1472" s="139"/>
      <c r="I1472" s="141"/>
      <c r="J1472" s="142"/>
      <c r="K1472" s="143"/>
      <c r="N1472" s="106"/>
      <c r="O1472" s="106"/>
      <c r="P1472" s="106"/>
      <c r="Q1472" s="106"/>
      <c r="R1472" s="106"/>
      <c r="S1472" s="106"/>
    </row>
    <row r="1473" spans="1:19" s="105" customFormat="1">
      <c r="A1473" s="106"/>
      <c r="B1473" s="175"/>
      <c r="C1473" s="139"/>
      <c r="D1473" s="140"/>
      <c r="E1473" s="139"/>
      <c r="F1473" s="139"/>
      <c r="G1473" s="140"/>
      <c r="H1473" s="139"/>
      <c r="I1473" s="141"/>
      <c r="J1473" s="142"/>
      <c r="K1473" s="143"/>
      <c r="N1473" s="106"/>
      <c r="O1473" s="106"/>
      <c r="P1473" s="106"/>
      <c r="Q1473" s="106"/>
      <c r="R1473" s="106"/>
      <c r="S1473" s="106"/>
    </row>
    <row r="1474" spans="1:19" s="105" customFormat="1" ht="37.5">
      <c r="A1474" s="106"/>
      <c r="B1474" s="286" t="s">
        <v>179</v>
      </c>
      <c r="C1474" s="139"/>
      <c r="D1474" s="140"/>
      <c r="E1474" s="139">
        <f>+E1475</f>
        <v>10.032500000000001</v>
      </c>
      <c r="F1474" s="139"/>
      <c r="G1474" s="140"/>
      <c r="H1474" s="139">
        <f>+H1475</f>
        <v>27.812600000000003</v>
      </c>
      <c r="I1474" s="141">
        <f t="shared" ref="I1474:I1492" si="54">+H1474-E1474</f>
        <v>17.780100000000004</v>
      </c>
      <c r="J1474" s="142">
        <f t="shared" ref="J1474:J1509" si="55">+I1474*100/H1474</f>
        <v>63.928219583929597</v>
      </c>
      <c r="K1474" s="143"/>
      <c r="N1474" s="106"/>
      <c r="O1474" s="106"/>
      <c r="P1474" s="106"/>
      <c r="Q1474" s="106"/>
      <c r="R1474" s="106"/>
      <c r="S1474" s="106"/>
    </row>
    <row r="1475" spans="1:19" s="105" customFormat="1">
      <c r="A1475" s="106"/>
      <c r="B1475" s="286" t="s">
        <v>180</v>
      </c>
      <c r="C1475" s="139"/>
      <c r="D1475" s="140"/>
      <c r="E1475" s="139">
        <f>+E1476</f>
        <v>10.032500000000001</v>
      </c>
      <c r="F1475" s="139"/>
      <c r="G1475" s="140"/>
      <c r="H1475" s="139">
        <f>+H1476</f>
        <v>27.812600000000003</v>
      </c>
      <c r="I1475" s="141">
        <f t="shared" si="54"/>
        <v>17.780100000000004</v>
      </c>
      <c r="J1475" s="142">
        <f t="shared" si="55"/>
        <v>63.928219583929597</v>
      </c>
      <c r="K1475" s="143"/>
      <c r="N1475" s="106"/>
      <c r="O1475" s="106"/>
      <c r="P1475" s="106"/>
      <c r="Q1475" s="106"/>
      <c r="R1475" s="106"/>
      <c r="S1475" s="106"/>
    </row>
    <row r="1476" spans="1:19" s="105" customFormat="1" ht="37.5">
      <c r="A1476" s="106"/>
      <c r="B1476" s="286" t="s">
        <v>181</v>
      </c>
      <c r="C1476" s="139"/>
      <c r="D1476" s="140"/>
      <c r="E1476" s="139">
        <f>+E1480+E1516+E1539+E1543</f>
        <v>10.032500000000001</v>
      </c>
      <c r="F1476" s="139"/>
      <c r="G1476" s="140"/>
      <c r="H1476" s="139">
        <f>+H1480+H1516+H1539+H1543</f>
        <v>27.812600000000003</v>
      </c>
      <c r="I1476" s="141">
        <f t="shared" si="54"/>
        <v>17.780100000000004</v>
      </c>
      <c r="J1476" s="142">
        <f t="shared" si="55"/>
        <v>63.928219583929597</v>
      </c>
      <c r="K1476" s="143"/>
      <c r="N1476" s="106"/>
      <c r="O1476" s="106"/>
      <c r="P1476" s="106"/>
      <c r="Q1476" s="106"/>
      <c r="R1476" s="106"/>
      <c r="S1476" s="106"/>
    </row>
    <row r="1477" spans="1:19" s="105" customFormat="1">
      <c r="A1477" s="106"/>
      <c r="B1477" s="335" t="s">
        <v>24</v>
      </c>
      <c r="C1477" s="139"/>
      <c r="D1477" s="140"/>
      <c r="E1477" s="139"/>
      <c r="F1477" s="139"/>
      <c r="G1477" s="140"/>
      <c r="H1477" s="139"/>
      <c r="I1477" s="141"/>
      <c r="J1477" s="142"/>
      <c r="K1477" s="143"/>
      <c r="N1477" s="106"/>
      <c r="O1477" s="106"/>
      <c r="P1477" s="106"/>
      <c r="Q1477" s="106"/>
      <c r="R1477" s="106"/>
      <c r="S1477" s="106"/>
    </row>
    <row r="1478" spans="1:19" s="105" customFormat="1" ht="32.25">
      <c r="A1478" s="106"/>
      <c r="B1478" s="325" t="s">
        <v>68</v>
      </c>
      <c r="C1478" s="336" t="s">
        <v>25</v>
      </c>
      <c r="D1478" s="337"/>
      <c r="E1478" s="336" t="s">
        <v>58</v>
      </c>
      <c r="F1478" s="336"/>
      <c r="G1478" s="337" t="s">
        <v>26</v>
      </c>
      <c r="H1478" s="336"/>
      <c r="I1478" s="141"/>
      <c r="J1478" s="142"/>
      <c r="K1478" s="338"/>
      <c r="N1478" s="106"/>
      <c r="O1478" s="106"/>
      <c r="P1478" s="106"/>
      <c r="Q1478" s="106"/>
      <c r="R1478" s="106"/>
      <c r="S1478" s="106"/>
    </row>
    <row r="1479" spans="1:19" s="105" customFormat="1" ht="32.25">
      <c r="A1479" s="106"/>
      <c r="B1479" s="325"/>
      <c r="C1479" s="336" t="s">
        <v>60</v>
      </c>
      <c r="D1479" s="337"/>
      <c r="E1479" s="336" t="s">
        <v>62</v>
      </c>
      <c r="F1479" s="336"/>
      <c r="G1479" s="337" t="s">
        <v>61</v>
      </c>
      <c r="H1479" s="336"/>
      <c r="I1479" s="141"/>
      <c r="J1479" s="142"/>
      <c r="K1479" s="338"/>
      <c r="N1479" s="106"/>
      <c r="O1479" s="106"/>
      <c r="P1479" s="106"/>
      <c r="Q1479" s="106"/>
      <c r="R1479" s="106"/>
      <c r="S1479" s="106"/>
    </row>
    <row r="1480" spans="1:19" s="105" customFormat="1">
      <c r="A1480" s="106"/>
      <c r="B1480" s="175" t="s">
        <v>38</v>
      </c>
      <c r="C1480" s="139"/>
      <c r="D1480" s="140"/>
      <c r="E1480" s="139">
        <f>+E1481+E1510</f>
        <v>6.1825000000000001</v>
      </c>
      <c r="F1480" s="139"/>
      <c r="G1480" s="140"/>
      <c r="H1480" s="139">
        <f>+H1481+H1510</f>
        <v>6.3026</v>
      </c>
      <c r="I1480" s="141">
        <f t="shared" si="54"/>
        <v>0.12009999999999987</v>
      </c>
      <c r="J1480" s="142">
        <f t="shared" si="55"/>
        <v>1.9055627836131102</v>
      </c>
      <c r="K1480" s="143"/>
      <c r="N1480" s="106"/>
      <c r="O1480" s="106"/>
      <c r="P1480" s="106"/>
      <c r="Q1480" s="106"/>
      <c r="R1480" s="106"/>
      <c r="S1480" s="106"/>
    </row>
    <row r="1481" spans="1:19" s="105" customFormat="1">
      <c r="A1481" s="106"/>
      <c r="B1481" s="175" t="s">
        <v>41</v>
      </c>
      <c r="C1481" s="139"/>
      <c r="D1481" s="140"/>
      <c r="E1481" s="139">
        <f>+E1482+E1485+E1507</f>
        <v>6.1825000000000001</v>
      </c>
      <c r="F1481" s="139"/>
      <c r="G1481" s="140"/>
      <c r="H1481" s="139">
        <f>+H1482+H1485+H1507</f>
        <v>6.3026</v>
      </c>
      <c r="I1481" s="141">
        <f t="shared" si="54"/>
        <v>0.12009999999999987</v>
      </c>
      <c r="J1481" s="142">
        <f t="shared" si="55"/>
        <v>1.9055627836131102</v>
      </c>
      <c r="K1481" s="143"/>
      <c r="N1481" s="106"/>
      <c r="O1481" s="106"/>
      <c r="P1481" s="106"/>
      <c r="Q1481" s="106"/>
      <c r="R1481" s="106"/>
      <c r="S1481" s="106"/>
    </row>
    <row r="1482" spans="1:19" s="105" customFormat="1">
      <c r="A1482" s="106"/>
      <c r="B1482" s="175" t="s">
        <v>42</v>
      </c>
      <c r="C1482" s="139"/>
      <c r="D1482" s="140"/>
      <c r="E1482" s="139">
        <f>SUM(E1483:E1483)</f>
        <v>0</v>
      </c>
      <c r="F1482" s="139"/>
      <c r="G1482" s="140"/>
      <c r="H1482" s="139">
        <f>SUM(H1483:H1483)</f>
        <v>0</v>
      </c>
      <c r="I1482" s="141"/>
      <c r="J1482" s="142"/>
      <c r="K1482" s="143"/>
      <c r="N1482" s="106"/>
      <c r="O1482" s="106"/>
      <c r="P1482" s="106"/>
      <c r="Q1482" s="106"/>
      <c r="R1482" s="106"/>
      <c r="S1482" s="106"/>
    </row>
    <row r="1483" spans="1:19" s="105" customFormat="1">
      <c r="A1483" s="106"/>
      <c r="B1483" s="194" t="s">
        <v>112</v>
      </c>
      <c r="C1483" s="139"/>
      <c r="D1483" s="140"/>
      <c r="E1483" s="139"/>
      <c r="F1483" s="139"/>
      <c r="G1483" s="140"/>
      <c r="H1483" s="139"/>
      <c r="I1483" s="139"/>
      <c r="J1483" s="139"/>
      <c r="K1483" s="143"/>
      <c r="N1483" s="106"/>
      <c r="O1483" s="106"/>
      <c r="P1483" s="106"/>
      <c r="Q1483" s="106"/>
      <c r="R1483" s="106"/>
      <c r="S1483" s="106"/>
    </row>
    <row r="1484" spans="1:19" s="105" customFormat="1">
      <c r="A1484" s="106"/>
      <c r="B1484" s="194"/>
      <c r="C1484" s="139"/>
      <c r="D1484" s="140"/>
      <c r="E1484" s="139"/>
      <c r="F1484" s="139"/>
      <c r="G1484" s="140"/>
      <c r="H1484" s="139"/>
      <c r="I1484" s="139"/>
      <c r="J1484" s="139"/>
      <c r="K1484" s="143"/>
      <c r="N1484" s="106"/>
      <c r="O1484" s="106"/>
      <c r="P1484" s="106"/>
      <c r="Q1484" s="106"/>
      <c r="R1484" s="106"/>
      <c r="S1484" s="106"/>
    </row>
    <row r="1485" spans="1:19" s="105" customFormat="1">
      <c r="A1485" s="106"/>
      <c r="B1485" s="175" t="s">
        <v>43</v>
      </c>
      <c r="C1485" s="139"/>
      <c r="D1485" s="140"/>
      <c r="E1485" s="139">
        <f>SUM(E1487:E1499)</f>
        <v>6.1649000000000003</v>
      </c>
      <c r="F1485" s="139"/>
      <c r="G1485" s="140"/>
      <c r="H1485" s="139">
        <f>SUM(H1487:H1499)</f>
        <v>6.2896000000000001</v>
      </c>
      <c r="I1485" s="141">
        <f t="shared" si="54"/>
        <v>0.12469999999999981</v>
      </c>
      <c r="J1485" s="142">
        <f t="shared" si="55"/>
        <v>1.9826380055965374</v>
      </c>
      <c r="K1485" s="143"/>
      <c r="N1485" s="106"/>
      <c r="O1485" s="106"/>
      <c r="P1485" s="106"/>
      <c r="Q1485" s="106"/>
      <c r="R1485" s="106"/>
      <c r="S1485" s="106"/>
    </row>
    <row r="1486" spans="1:19" s="105" customFormat="1">
      <c r="A1486" s="106"/>
      <c r="B1486" s="175" t="s">
        <v>19</v>
      </c>
      <c r="C1486" s="139"/>
      <c r="D1486" s="140"/>
      <c r="E1486" s="139"/>
      <c r="F1486" s="139"/>
      <c r="G1486" s="140"/>
      <c r="H1486" s="139"/>
      <c r="I1486" s="139"/>
      <c r="J1486" s="139"/>
      <c r="K1486" s="143"/>
      <c r="N1486" s="106"/>
      <c r="O1486" s="106"/>
      <c r="P1486" s="106"/>
      <c r="Q1486" s="106"/>
      <c r="R1486" s="106"/>
      <c r="S1486" s="106"/>
    </row>
    <row r="1487" spans="1:19" s="105" customFormat="1" ht="56.25">
      <c r="A1487" s="106"/>
      <c r="B1487" s="194" t="s">
        <v>85</v>
      </c>
      <c r="C1487" s="139"/>
      <c r="D1487" s="140"/>
      <c r="E1487" s="139">
        <v>0.18240000000000001</v>
      </c>
      <c r="F1487" s="139"/>
      <c r="G1487" s="140"/>
      <c r="H1487" s="139">
        <v>9.2799999999999994E-2</v>
      </c>
      <c r="I1487" s="141">
        <f t="shared" si="54"/>
        <v>-8.9600000000000013E-2</v>
      </c>
      <c r="J1487" s="142">
        <f t="shared" si="55"/>
        <v>-96.551724137931046</v>
      </c>
      <c r="K1487" s="175" t="s">
        <v>899</v>
      </c>
      <c r="N1487" s="106"/>
      <c r="O1487" s="106"/>
      <c r="P1487" s="106"/>
      <c r="Q1487" s="106"/>
      <c r="R1487" s="106"/>
      <c r="S1487" s="106"/>
    </row>
    <row r="1488" spans="1:19" s="105" customFormat="1" ht="37.5">
      <c r="A1488" s="106"/>
      <c r="B1488" s="194"/>
      <c r="C1488" s="139"/>
      <c r="D1488" s="140"/>
      <c r="E1488" s="139"/>
      <c r="F1488" s="139"/>
      <c r="G1488" s="140"/>
      <c r="H1488" s="139"/>
      <c r="I1488" s="141"/>
      <c r="J1488" s="142"/>
      <c r="K1488" s="175" t="s">
        <v>900</v>
      </c>
      <c r="N1488" s="106"/>
      <c r="O1488" s="106"/>
      <c r="P1488" s="106"/>
      <c r="Q1488" s="106"/>
      <c r="R1488" s="106"/>
      <c r="S1488" s="106"/>
    </row>
    <row r="1489" spans="1:19" s="105" customFormat="1" ht="37.5">
      <c r="A1489" s="106"/>
      <c r="B1489" s="194"/>
      <c r="C1489" s="139"/>
      <c r="D1489" s="140"/>
      <c r="E1489" s="139"/>
      <c r="F1489" s="139"/>
      <c r="G1489" s="140"/>
      <c r="H1489" s="139"/>
      <c r="I1489" s="141"/>
      <c r="J1489" s="142"/>
      <c r="K1489" s="175" t="s">
        <v>901</v>
      </c>
      <c r="N1489" s="106"/>
      <c r="O1489" s="106"/>
      <c r="P1489" s="106"/>
      <c r="Q1489" s="106"/>
      <c r="R1489" s="106"/>
      <c r="S1489" s="106"/>
    </row>
    <row r="1490" spans="1:19" s="105" customFormat="1" ht="37.5">
      <c r="A1490" s="106"/>
      <c r="B1490" s="194"/>
      <c r="C1490" s="139"/>
      <c r="D1490" s="140"/>
      <c r="E1490" s="139"/>
      <c r="F1490" s="139"/>
      <c r="G1490" s="140"/>
      <c r="H1490" s="139"/>
      <c r="I1490" s="141"/>
      <c r="J1490" s="142"/>
      <c r="K1490" s="175" t="s">
        <v>902</v>
      </c>
      <c r="N1490" s="106"/>
      <c r="O1490" s="106"/>
      <c r="P1490" s="106"/>
      <c r="Q1490" s="106"/>
      <c r="R1490" s="106"/>
      <c r="S1490" s="106"/>
    </row>
    <row r="1491" spans="1:19" s="105" customFormat="1" ht="37.5">
      <c r="A1491" s="106"/>
      <c r="B1491" s="194"/>
      <c r="C1491" s="139"/>
      <c r="D1491" s="140"/>
      <c r="E1491" s="139"/>
      <c r="F1491" s="139"/>
      <c r="G1491" s="140"/>
      <c r="H1491" s="139"/>
      <c r="I1491" s="141"/>
      <c r="J1491" s="142"/>
      <c r="K1491" s="175" t="s">
        <v>903</v>
      </c>
      <c r="N1491" s="106"/>
      <c r="O1491" s="106"/>
      <c r="P1491" s="106"/>
      <c r="Q1491" s="106"/>
      <c r="R1491" s="106"/>
      <c r="S1491" s="106"/>
    </row>
    <row r="1492" spans="1:19" s="105" customFormat="1" ht="37.5">
      <c r="A1492" s="106"/>
      <c r="B1492" s="194" t="s">
        <v>86</v>
      </c>
      <c r="C1492" s="139"/>
      <c r="D1492" s="140"/>
      <c r="E1492" s="139">
        <v>0.56999999999999995</v>
      </c>
      <c r="F1492" s="139"/>
      <c r="G1492" s="140"/>
      <c r="H1492" s="139">
        <v>0.26600000000000001</v>
      </c>
      <c r="I1492" s="141">
        <f t="shared" si="54"/>
        <v>-0.30399999999999994</v>
      </c>
      <c r="J1492" s="142">
        <f t="shared" si="55"/>
        <v>-114.28571428571426</v>
      </c>
      <c r="K1492" s="175" t="s">
        <v>904</v>
      </c>
      <c r="N1492" s="106"/>
      <c r="O1492" s="106"/>
      <c r="P1492" s="106"/>
      <c r="Q1492" s="106"/>
      <c r="R1492" s="106"/>
      <c r="S1492" s="106"/>
    </row>
    <row r="1493" spans="1:19" s="105" customFormat="1" ht="37.5">
      <c r="A1493" s="106"/>
      <c r="B1493" s="194"/>
      <c r="C1493" s="139"/>
      <c r="D1493" s="140"/>
      <c r="E1493" s="139"/>
      <c r="F1493" s="139"/>
      <c r="G1493" s="140"/>
      <c r="H1493" s="139"/>
      <c r="I1493" s="141"/>
      <c r="J1493" s="142"/>
      <c r="K1493" s="175" t="s">
        <v>905</v>
      </c>
      <c r="N1493" s="106"/>
      <c r="O1493" s="106"/>
      <c r="P1493" s="106"/>
      <c r="Q1493" s="106"/>
      <c r="R1493" s="106"/>
      <c r="S1493" s="106"/>
    </row>
    <row r="1494" spans="1:19" s="105" customFormat="1" ht="37.5">
      <c r="A1494" s="106"/>
      <c r="B1494" s="194"/>
      <c r="C1494" s="139"/>
      <c r="D1494" s="140"/>
      <c r="E1494" s="139"/>
      <c r="F1494" s="139"/>
      <c r="G1494" s="140"/>
      <c r="H1494" s="139"/>
      <c r="I1494" s="141"/>
      <c r="J1494" s="142"/>
      <c r="K1494" s="175" t="s">
        <v>906</v>
      </c>
      <c r="N1494" s="106"/>
      <c r="O1494" s="106"/>
      <c r="P1494" s="106"/>
      <c r="Q1494" s="106"/>
      <c r="R1494" s="106"/>
      <c r="S1494" s="106"/>
    </row>
    <row r="1495" spans="1:19" s="105" customFormat="1" ht="37.5">
      <c r="A1495" s="106"/>
      <c r="B1495" s="194" t="s">
        <v>157</v>
      </c>
      <c r="C1495" s="139"/>
      <c r="D1495" s="140"/>
      <c r="E1495" s="139">
        <v>5.1325000000000003</v>
      </c>
      <c r="F1495" s="139"/>
      <c r="G1495" s="140"/>
      <c r="H1495" s="139">
        <v>5.7507999999999999</v>
      </c>
      <c r="I1495" s="141">
        <f t="shared" ref="I1495:I1509" si="56">+H1495-E1495</f>
        <v>0.61829999999999963</v>
      </c>
      <c r="J1495" s="142">
        <f t="shared" si="55"/>
        <v>10.751547610767192</v>
      </c>
      <c r="K1495" s="175" t="s">
        <v>907</v>
      </c>
      <c r="N1495" s="106"/>
      <c r="O1495" s="106"/>
      <c r="P1495" s="106"/>
      <c r="Q1495" s="106"/>
      <c r="R1495" s="106"/>
      <c r="S1495" s="106"/>
    </row>
    <row r="1496" spans="1:19" s="105" customFormat="1" ht="37.5">
      <c r="A1496" s="106"/>
      <c r="B1496" s="194"/>
      <c r="C1496" s="139"/>
      <c r="D1496" s="140"/>
      <c r="E1496" s="139"/>
      <c r="F1496" s="139"/>
      <c r="G1496" s="140"/>
      <c r="H1496" s="139"/>
      <c r="I1496" s="141"/>
      <c r="J1496" s="142"/>
      <c r="K1496" s="175" t="s">
        <v>908</v>
      </c>
      <c r="N1496" s="106"/>
      <c r="O1496" s="106"/>
      <c r="P1496" s="106"/>
      <c r="Q1496" s="106"/>
      <c r="R1496" s="106"/>
      <c r="S1496" s="106"/>
    </row>
    <row r="1497" spans="1:19" s="105" customFormat="1" ht="37.5">
      <c r="A1497" s="106"/>
      <c r="B1497" s="194"/>
      <c r="C1497" s="139"/>
      <c r="D1497" s="140"/>
      <c r="E1497" s="139"/>
      <c r="F1497" s="139"/>
      <c r="G1497" s="140"/>
      <c r="H1497" s="139"/>
      <c r="I1497" s="141"/>
      <c r="J1497" s="142"/>
      <c r="K1497" s="175" t="s">
        <v>909</v>
      </c>
      <c r="N1497" s="106"/>
      <c r="O1497" s="106"/>
      <c r="P1497" s="106"/>
      <c r="Q1497" s="106"/>
      <c r="R1497" s="106"/>
      <c r="S1497" s="106"/>
    </row>
    <row r="1498" spans="1:19" s="105" customFormat="1">
      <c r="A1498" s="106"/>
      <c r="B1498" s="194" t="s">
        <v>88</v>
      </c>
      <c r="C1498" s="139"/>
      <c r="D1498" s="140"/>
      <c r="E1498" s="139">
        <v>0.28000000000000003</v>
      </c>
      <c r="F1498" s="139"/>
      <c r="G1498" s="140"/>
      <c r="H1498" s="139"/>
      <c r="I1498" s="141">
        <f t="shared" si="56"/>
        <v>-0.28000000000000003</v>
      </c>
      <c r="J1498" s="142"/>
      <c r="K1498" s="143"/>
      <c r="N1498" s="106"/>
      <c r="O1498" s="106"/>
      <c r="P1498" s="106"/>
      <c r="Q1498" s="106"/>
      <c r="R1498" s="106"/>
      <c r="S1498" s="106"/>
    </row>
    <row r="1499" spans="1:19" s="105" customFormat="1" ht="40.5">
      <c r="A1499" s="106"/>
      <c r="B1499" s="175" t="s">
        <v>69</v>
      </c>
      <c r="C1499" s="139"/>
      <c r="D1499" s="140"/>
      <c r="E1499" s="139"/>
      <c r="F1499" s="139"/>
      <c r="G1499" s="140"/>
      <c r="H1499" s="139">
        <f>+H1502</f>
        <v>0.18</v>
      </c>
      <c r="I1499" s="141">
        <f t="shared" si="56"/>
        <v>0.18</v>
      </c>
      <c r="J1499" s="142">
        <f t="shared" si="55"/>
        <v>100</v>
      </c>
      <c r="K1499" s="143"/>
      <c r="N1499" s="106"/>
      <c r="O1499" s="106"/>
      <c r="P1499" s="106"/>
      <c r="Q1499" s="106"/>
      <c r="R1499" s="106"/>
      <c r="S1499" s="106"/>
    </row>
    <row r="1500" spans="1:19" s="105" customFormat="1">
      <c r="A1500" s="106"/>
      <c r="B1500" s="194" t="s">
        <v>2</v>
      </c>
      <c r="C1500" s="139"/>
      <c r="D1500" s="140"/>
      <c r="E1500" s="139"/>
      <c r="F1500" s="139"/>
      <c r="G1500" s="140"/>
      <c r="H1500" s="139"/>
      <c r="I1500" s="141"/>
      <c r="J1500" s="142"/>
      <c r="K1500" s="143"/>
      <c r="N1500" s="106"/>
      <c r="O1500" s="106"/>
      <c r="P1500" s="106"/>
      <c r="Q1500" s="106"/>
      <c r="R1500" s="106"/>
      <c r="S1500" s="106"/>
    </row>
    <row r="1501" spans="1:19" s="105" customFormat="1">
      <c r="A1501" s="106"/>
      <c r="B1501" s="194" t="s">
        <v>3</v>
      </c>
      <c r="C1501" s="139"/>
      <c r="D1501" s="140"/>
      <c r="E1501" s="139"/>
      <c r="F1501" s="139"/>
      <c r="G1501" s="140"/>
      <c r="H1501" s="139"/>
      <c r="I1501" s="141"/>
      <c r="J1501" s="142"/>
      <c r="K1501" s="143"/>
      <c r="N1501" s="106"/>
      <c r="O1501" s="106"/>
      <c r="P1501" s="106"/>
      <c r="Q1501" s="106"/>
      <c r="R1501" s="106"/>
      <c r="S1501" s="106"/>
    </row>
    <row r="1502" spans="1:19" s="105" customFormat="1" ht="56.25">
      <c r="A1502" s="106"/>
      <c r="B1502" s="194" t="s">
        <v>910</v>
      </c>
      <c r="C1502" s="139"/>
      <c r="D1502" s="140"/>
      <c r="E1502" s="139"/>
      <c r="F1502" s="139"/>
      <c r="G1502" s="140"/>
      <c r="H1502" s="139">
        <v>0.18</v>
      </c>
      <c r="I1502" s="141">
        <f t="shared" si="56"/>
        <v>0.18</v>
      </c>
      <c r="J1502" s="142">
        <f t="shared" si="55"/>
        <v>100</v>
      </c>
      <c r="K1502" s="175" t="s">
        <v>911</v>
      </c>
      <c r="N1502" s="106"/>
      <c r="O1502" s="106"/>
      <c r="P1502" s="106"/>
      <c r="Q1502" s="106"/>
      <c r="R1502" s="106"/>
      <c r="S1502" s="106"/>
    </row>
    <row r="1503" spans="1:19" s="105" customFormat="1">
      <c r="A1503" s="106"/>
      <c r="B1503" s="175" t="s">
        <v>22</v>
      </c>
      <c r="C1503" s="139"/>
      <c r="D1503" s="140"/>
      <c r="E1503" s="139"/>
      <c r="F1503" s="139"/>
      <c r="G1503" s="140"/>
      <c r="H1503" s="139"/>
      <c r="I1503" s="141"/>
      <c r="J1503" s="142"/>
      <c r="K1503" s="143"/>
      <c r="N1503" s="106"/>
      <c r="O1503" s="106"/>
      <c r="P1503" s="106"/>
      <c r="Q1503" s="106"/>
      <c r="R1503" s="106"/>
      <c r="S1503" s="106"/>
    </row>
    <row r="1504" spans="1:19" s="105" customFormat="1">
      <c r="A1504" s="106"/>
      <c r="B1504" s="194" t="s">
        <v>21</v>
      </c>
      <c r="C1504" s="139"/>
      <c r="D1504" s="140"/>
      <c r="E1504" s="139"/>
      <c r="F1504" s="139"/>
      <c r="G1504" s="140"/>
      <c r="H1504" s="139"/>
      <c r="I1504" s="141"/>
      <c r="J1504" s="142"/>
      <c r="K1504" s="143"/>
      <c r="N1504" s="106"/>
      <c r="O1504" s="106"/>
      <c r="P1504" s="106"/>
      <c r="Q1504" s="106"/>
      <c r="R1504" s="106"/>
      <c r="S1504" s="106"/>
    </row>
    <row r="1505" spans="1:19" s="105" customFormat="1">
      <c r="A1505" s="106"/>
      <c r="B1505" s="175" t="s">
        <v>20</v>
      </c>
      <c r="C1505" s="139"/>
      <c r="D1505" s="140"/>
      <c r="E1505" s="139"/>
      <c r="F1505" s="139"/>
      <c r="G1505" s="140"/>
      <c r="H1505" s="139"/>
      <c r="I1505" s="141"/>
      <c r="J1505" s="142"/>
      <c r="K1505" s="143"/>
      <c r="N1505" s="106"/>
      <c r="O1505" s="106"/>
      <c r="P1505" s="106"/>
      <c r="Q1505" s="106"/>
      <c r="R1505" s="106"/>
      <c r="S1505" s="106"/>
    </row>
    <row r="1506" spans="1:19" s="105" customFormat="1">
      <c r="A1506" s="106"/>
      <c r="B1506" s="194" t="s">
        <v>17</v>
      </c>
      <c r="C1506" s="139"/>
      <c r="D1506" s="140"/>
      <c r="E1506" s="139"/>
      <c r="F1506" s="139"/>
      <c r="G1506" s="140"/>
      <c r="H1506" s="139"/>
      <c r="I1506" s="141"/>
      <c r="J1506" s="142"/>
      <c r="K1506" s="143"/>
      <c r="N1506" s="106"/>
      <c r="O1506" s="106"/>
      <c r="P1506" s="106"/>
      <c r="Q1506" s="106"/>
      <c r="R1506" s="106"/>
      <c r="S1506" s="106"/>
    </row>
    <row r="1507" spans="1:19" s="105" customFormat="1">
      <c r="A1507" s="106"/>
      <c r="B1507" s="175" t="s">
        <v>44</v>
      </c>
      <c r="C1507" s="139"/>
      <c r="D1507" s="140"/>
      <c r="E1507" s="139">
        <f>SUM(E1508:E1509)</f>
        <v>1.7600000000000001E-2</v>
      </c>
      <c r="F1507" s="139"/>
      <c r="G1507" s="140"/>
      <c r="H1507" s="139">
        <f>SUM(H1508:H1509)</f>
        <v>1.3000000000000001E-2</v>
      </c>
      <c r="I1507" s="141">
        <f t="shared" si="56"/>
        <v>-4.5999999999999999E-3</v>
      </c>
      <c r="J1507" s="142">
        <f t="shared" si="55"/>
        <v>-35.38461538461538</v>
      </c>
      <c r="K1507" s="143"/>
      <c r="N1507" s="106"/>
      <c r="O1507" s="106"/>
      <c r="P1507" s="106"/>
      <c r="Q1507" s="106"/>
      <c r="R1507" s="106"/>
      <c r="S1507" s="106"/>
    </row>
    <row r="1508" spans="1:19" s="105" customFormat="1" ht="37.5">
      <c r="A1508" s="106"/>
      <c r="B1508" s="194" t="s">
        <v>90</v>
      </c>
      <c r="C1508" s="139"/>
      <c r="D1508" s="140"/>
      <c r="E1508" s="139">
        <v>1.7600000000000001E-2</v>
      </c>
      <c r="F1508" s="139"/>
      <c r="G1508" s="140"/>
      <c r="H1508" s="139">
        <v>5.0000000000000001E-3</v>
      </c>
      <c r="I1508" s="141">
        <f t="shared" si="56"/>
        <v>-1.26E-2</v>
      </c>
      <c r="J1508" s="142">
        <f t="shared" si="55"/>
        <v>-252</v>
      </c>
      <c r="K1508" s="175" t="s">
        <v>912</v>
      </c>
      <c r="N1508" s="106"/>
      <c r="O1508" s="106"/>
      <c r="P1508" s="106"/>
      <c r="Q1508" s="106"/>
      <c r="R1508" s="106"/>
      <c r="S1508" s="106"/>
    </row>
    <row r="1509" spans="1:19" s="105" customFormat="1" ht="37.5">
      <c r="A1509" s="106"/>
      <c r="B1509" s="194" t="s">
        <v>91</v>
      </c>
      <c r="C1509" s="139"/>
      <c r="D1509" s="140"/>
      <c r="E1509" s="139"/>
      <c r="F1509" s="139"/>
      <c r="G1509" s="140"/>
      <c r="H1509" s="139">
        <v>8.0000000000000002E-3</v>
      </c>
      <c r="I1509" s="141">
        <f t="shared" si="56"/>
        <v>8.0000000000000002E-3</v>
      </c>
      <c r="J1509" s="142">
        <f t="shared" si="55"/>
        <v>100</v>
      </c>
      <c r="K1509" s="175" t="s">
        <v>777</v>
      </c>
      <c r="N1509" s="106"/>
      <c r="O1509" s="106"/>
      <c r="P1509" s="106"/>
      <c r="Q1509" s="106"/>
      <c r="R1509" s="106"/>
      <c r="S1509" s="106"/>
    </row>
    <row r="1510" spans="1:19" s="105" customFormat="1">
      <c r="A1510" s="106"/>
      <c r="B1510" s="175" t="s">
        <v>45</v>
      </c>
      <c r="C1510" s="139"/>
      <c r="D1510" s="140"/>
      <c r="E1510" s="139">
        <f>SUM(E1511:E1515)</f>
        <v>0</v>
      </c>
      <c r="F1510" s="139"/>
      <c r="G1510" s="140"/>
      <c r="H1510" s="139">
        <f>SUM(H1511:H1515)</f>
        <v>0</v>
      </c>
      <c r="I1510" s="141"/>
      <c r="J1510" s="142"/>
      <c r="K1510" s="143"/>
      <c r="N1510" s="106"/>
      <c r="O1510" s="106"/>
      <c r="P1510" s="106"/>
      <c r="Q1510" s="106"/>
      <c r="R1510" s="106"/>
      <c r="S1510" s="106"/>
    </row>
    <row r="1511" spans="1:19" s="105" customFormat="1">
      <c r="A1511" s="106"/>
      <c r="B1511" s="194" t="s">
        <v>106</v>
      </c>
      <c r="C1511" s="139"/>
      <c r="D1511" s="140"/>
      <c r="E1511" s="139"/>
      <c r="F1511" s="139"/>
      <c r="G1511" s="140"/>
      <c r="H1511" s="139"/>
      <c r="I1511" s="141"/>
      <c r="J1511" s="142"/>
      <c r="K1511" s="143"/>
      <c r="N1511" s="106"/>
      <c r="O1511" s="106"/>
      <c r="P1511" s="106"/>
      <c r="Q1511" s="106"/>
      <c r="R1511" s="106"/>
      <c r="S1511" s="106"/>
    </row>
    <row r="1512" spans="1:19" s="105" customFormat="1">
      <c r="A1512" s="106"/>
      <c r="B1512" s="194" t="s">
        <v>107</v>
      </c>
      <c r="C1512" s="139"/>
      <c r="D1512" s="140"/>
      <c r="E1512" s="139"/>
      <c r="F1512" s="139"/>
      <c r="G1512" s="140"/>
      <c r="H1512" s="139"/>
      <c r="I1512" s="141"/>
      <c r="J1512" s="142"/>
      <c r="K1512" s="143"/>
      <c r="N1512" s="106"/>
      <c r="O1512" s="106"/>
      <c r="P1512" s="106"/>
      <c r="Q1512" s="106"/>
      <c r="R1512" s="106"/>
      <c r="S1512" s="106"/>
    </row>
    <row r="1513" spans="1:19" s="105" customFormat="1">
      <c r="A1513" s="106"/>
      <c r="B1513" s="194" t="s">
        <v>108</v>
      </c>
      <c r="C1513" s="139"/>
      <c r="D1513" s="140"/>
      <c r="E1513" s="139"/>
      <c r="F1513" s="139"/>
      <c r="G1513" s="140"/>
      <c r="H1513" s="139"/>
      <c r="I1513" s="141"/>
      <c r="J1513" s="142"/>
      <c r="K1513" s="143"/>
      <c r="N1513" s="106"/>
      <c r="O1513" s="106"/>
      <c r="P1513" s="106"/>
      <c r="Q1513" s="106"/>
      <c r="R1513" s="106"/>
      <c r="S1513" s="106"/>
    </row>
    <row r="1514" spans="1:19" s="105" customFormat="1">
      <c r="A1514" s="106"/>
      <c r="B1514" s="194" t="s">
        <v>109</v>
      </c>
      <c r="C1514" s="139"/>
      <c r="D1514" s="140"/>
      <c r="E1514" s="139"/>
      <c r="F1514" s="139"/>
      <c r="G1514" s="140"/>
      <c r="H1514" s="139"/>
      <c r="I1514" s="141"/>
      <c r="J1514" s="142"/>
      <c r="K1514" s="143"/>
      <c r="N1514" s="106"/>
      <c r="O1514" s="106"/>
      <c r="P1514" s="106"/>
      <c r="Q1514" s="106"/>
      <c r="R1514" s="106"/>
      <c r="S1514" s="106"/>
    </row>
    <row r="1515" spans="1:19" s="105" customFormat="1">
      <c r="A1515" s="106"/>
      <c r="B1515" s="194" t="s">
        <v>111</v>
      </c>
      <c r="C1515" s="139"/>
      <c r="D1515" s="140"/>
      <c r="E1515" s="139"/>
      <c r="F1515" s="139"/>
      <c r="G1515" s="140"/>
      <c r="H1515" s="139"/>
      <c r="I1515" s="141"/>
      <c r="J1515" s="142"/>
      <c r="K1515" s="143"/>
      <c r="N1515" s="106"/>
      <c r="O1515" s="106"/>
      <c r="P1515" s="106"/>
      <c r="Q1515" s="106"/>
      <c r="R1515" s="106"/>
      <c r="S1515" s="106"/>
    </row>
    <row r="1516" spans="1:19" s="105" customFormat="1">
      <c r="A1516" s="106"/>
      <c r="B1516" s="175" t="s">
        <v>46</v>
      </c>
      <c r="C1516" s="139"/>
      <c r="D1516" s="140"/>
      <c r="E1516" s="139">
        <f>+E1517+E1528</f>
        <v>0</v>
      </c>
      <c r="F1516" s="139"/>
      <c r="G1516" s="140"/>
      <c r="H1516" s="139">
        <f>+H1517+H1528</f>
        <v>0</v>
      </c>
      <c r="I1516" s="143"/>
      <c r="J1516" s="143"/>
      <c r="K1516" s="143"/>
      <c r="N1516" s="106"/>
      <c r="O1516" s="106"/>
      <c r="P1516" s="106"/>
      <c r="Q1516" s="106"/>
      <c r="R1516" s="106"/>
      <c r="S1516" s="106"/>
    </row>
    <row r="1517" spans="1:19" s="105" customFormat="1">
      <c r="A1517" s="106"/>
      <c r="B1517" s="175" t="s">
        <v>47</v>
      </c>
      <c r="C1517" s="139"/>
      <c r="D1517" s="140"/>
      <c r="E1517" s="139">
        <f>+E1519</f>
        <v>0</v>
      </c>
      <c r="F1517" s="139"/>
      <c r="G1517" s="140"/>
      <c r="H1517" s="139">
        <f>+H1519</f>
        <v>0</v>
      </c>
      <c r="I1517" s="143"/>
      <c r="J1517" s="143"/>
      <c r="K1517" s="143"/>
      <c r="N1517" s="106"/>
      <c r="O1517" s="106"/>
      <c r="P1517" s="106"/>
      <c r="Q1517" s="106"/>
      <c r="R1517" s="106"/>
      <c r="S1517" s="106"/>
    </row>
    <row r="1518" spans="1:19" s="105" customFormat="1">
      <c r="A1518" s="106"/>
      <c r="B1518" s="175" t="s">
        <v>19</v>
      </c>
      <c r="C1518" s="139"/>
      <c r="D1518" s="140"/>
      <c r="E1518" s="139"/>
      <c r="F1518" s="139"/>
      <c r="G1518" s="140"/>
      <c r="H1518" s="139"/>
      <c r="I1518" s="143"/>
      <c r="J1518" s="143"/>
      <c r="K1518" s="143"/>
      <c r="N1518" s="106"/>
      <c r="O1518" s="106"/>
      <c r="P1518" s="106"/>
      <c r="Q1518" s="106"/>
      <c r="R1518" s="106"/>
      <c r="S1518" s="106"/>
    </row>
    <row r="1519" spans="1:19" s="105" customFormat="1">
      <c r="A1519" s="106"/>
      <c r="B1519" s="175" t="s">
        <v>110</v>
      </c>
      <c r="C1519" s="139"/>
      <c r="D1519" s="140"/>
      <c r="E1519" s="139"/>
      <c r="F1519" s="139"/>
      <c r="G1519" s="140"/>
      <c r="H1519" s="139"/>
      <c r="I1519" s="143"/>
      <c r="J1519" s="143"/>
      <c r="K1519" s="143"/>
      <c r="N1519" s="106"/>
      <c r="O1519" s="106"/>
      <c r="P1519" s="106"/>
      <c r="Q1519" s="106"/>
      <c r="R1519" s="106"/>
      <c r="S1519" s="106"/>
    </row>
    <row r="1520" spans="1:19" s="105" customFormat="1">
      <c r="A1520" s="106"/>
      <c r="B1520" s="194" t="s">
        <v>17</v>
      </c>
      <c r="C1520" s="139"/>
      <c r="D1520" s="140"/>
      <c r="E1520" s="139"/>
      <c r="F1520" s="139"/>
      <c r="G1520" s="140"/>
      <c r="H1520" s="139"/>
      <c r="I1520" s="139"/>
      <c r="J1520" s="139"/>
      <c r="K1520" s="143"/>
      <c r="N1520" s="106"/>
      <c r="O1520" s="106"/>
      <c r="P1520" s="106"/>
      <c r="Q1520" s="106"/>
      <c r="R1520" s="106"/>
      <c r="S1520" s="106"/>
    </row>
    <row r="1521" spans="1:19" s="105" customFormat="1">
      <c r="A1521" s="106"/>
      <c r="B1521" s="194" t="s">
        <v>18</v>
      </c>
      <c r="C1521" s="139"/>
      <c r="D1521" s="140"/>
      <c r="E1521" s="139"/>
      <c r="F1521" s="139"/>
      <c r="G1521" s="140"/>
      <c r="H1521" s="139"/>
      <c r="I1521" s="139"/>
      <c r="J1521" s="139"/>
      <c r="K1521" s="143"/>
      <c r="N1521" s="106"/>
      <c r="O1521" s="106"/>
      <c r="P1521" s="106"/>
      <c r="Q1521" s="106"/>
      <c r="R1521" s="106"/>
      <c r="S1521" s="106"/>
    </row>
    <row r="1522" spans="1:19" s="105" customFormat="1">
      <c r="A1522" s="106"/>
      <c r="B1522" s="175" t="s">
        <v>22</v>
      </c>
      <c r="C1522" s="139"/>
      <c r="D1522" s="140"/>
      <c r="E1522" s="139"/>
      <c r="F1522" s="139"/>
      <c r="G1522" s="140"/>
      <c r="H1522" s="139"/>
      <c r="I1522" s="139"/>
      <c r="J1522" s="139"/>
      <c r="K1522" s="143"/>
      <c r="N1522" s="106"/>
      <c r="O1522" s="106"/>
      <c r="P1522" s="106"/>
      <c r="Q1522" s="106"/>
      <c r="R1522" s="106"/>
      <c r="S1522" s="106"/>
    </row>
    <row r="1523" spans="1:19" s="105" customFormat="1">
      <c r="A1523" s="106"/>
      <c r="B1523" s="175" t="s">
        <v>48</v>
      </c>
      <c r="C1523" s="139"/>
      <c r="D1523" s="140"/>
      <c r="E1523" s="139"/>
      <c r="F1523" s="139"/>
      <c r="G1523" s="140"/>
      <c r="H1523" s="139"/>
      <c r="I1523" s="139"/>
      <c r="J1523" s="139"/>
      <c r="K1523" s="143"/>
      <c r="N1523" s="106"/>
      <c r="O1523" s="106"/>
      <c r="P1523" s="106"/>
      <c r="Q1523" s="106"/>
      <c r="R1523" s="106"/>
      <c r="S1523" s="106"/>
    </row>
    <row r="1524" spans="1:19" s="105" customFormat="1">
      <c r="A1524" s="106"/>
      <c r="B1524" s="194" t="s">
        <v>23</v>
      </c>
      <c r="C1524" s="139"/>
      <c r="D1524" s="140"/>
      <c r="E1524" s="139"/>
      <c r="F1524" s="139"/>
      <c r="G1524" s="140"/>
      <c r="H1524" s="139"/>
      <c r="I1524" s="139"/>
      <c r="J1524" s="139"/>
      <c r="K1524" s="143"/>
      <c r="N1524" s="106"/>
      <c r="O1524" s="106"/>
      <c r="P1524" s="106"/>
      <c r="Q1524" s="106"/>
      <c r="R1524" s="106"/>
      <c r="S1524" s="106"/>
    </row>
    <row r="1525" spans="1:19" s="105" customFormat="1">
      <c r="A1525" s="106"/>
      <c r="B1525" s="175" t="s">
        <v>20</v>
      </c>
      <c r="C1525" s="139"/>
      <c r="D1525" s="140"/>
      <c r="E1525" s="139"/>
      <c r="F1525" s="139"/>
      <c r="G1525" s="140"/>
      <c r="H1525" s="139"/>
      <c r="I1525" s="139"/>
      <c r="J1525" s="139"/>
      <c r="K1525" s="143"/>
      <c r="N1525" s="106"/>
      <c r="O1525" s="106"/>
      <c r="P1525" s="106"/>
      <c r="Q1525" s="106"/>
      <c r="R1525" s="106"/>
      <c r="S1525" s="106"/>
    </row>
    <row r="1526" spans="1:19" s="105" customFormat="1">
      <c r="A1526" s="106"/>
      <c r="B1526" s="175" t="s">
        <v>48</v>
      </c>
      <c r="C1526" s="139"/>
      <c r="D1526" s="140"/>
      <c r="E1526" s="139"/>
      <c r="F1526" s="139"/>
      <c r="G1526" s="140"/>
      <c r="H1526" s="139"/>
      <c r="I1526" s="139"/>
      <c r="J1526" s="139"/>
      <c r="K1526" s="143"/>
      <c r="N1526" s="106"/>
      <c r="O1526" s="106"/>
      <c r="P1526" s="106"/>
      <c r="Q1526" s="106"/>
      <c r="R1526" s="106"/>
      <c r="S1526" s="106"/>
    </row>
    <row r="1527" spans="1:19" s="105" customFormat="1">
      <c r="A1527" s="106"/>
      <c r="B1527" s="194" t="s">
        <v>23</v>
      </c>
      <c r="C1527" s="139"/>
      <c r="D1527" s="140"/>
      <c r="E1527" s="139"/>
      <c r="F1527" s="139"/>
      <c r="G1527" s="140"/>
      <c r="H1527" s="139"/>
      <c r="I1527" s="139"/>
      <c r="J1527" s="139"/>
      <c r="K1527" s="143"/>
      <c r="N1527" s="106"/>
      <c r="O1527" s="106"/>
      <c r="P1527" s="106"/>
      <c r="Q1527" s="106"/>
      <c r="R1527" s="106"/>
      <c r="S1527" s="106"/>
    </row>
    <row r="1528" spans="1:19" s="105" customFormat="1">
      <c r="A1528" s="106"/>
      <c r="B1528" s="175" t="s">
        <v>49</v>
      </c>
      <c r="C1528" s="139"/>
      <c r="D1528" s="140"/>
      <c r="E1528" s="139">
        <f>+E1530</f>
        <v>0</v>
      </c>
      <c r="F1528" s="139"/>
      <c r="G1528" s="140"/>
      <c r="H1528" s="139">
        <f>+H1530</f>
        <v>0</v>
      </c>
      <c r="I1528" s="143"/>
      <c r="J1528" s="143"/>
      <c r="K1528" s="143"/>
      <c r="N1528" s="106"/>
      <c r="O1528" s="106"/>
      <c r="P1528" s="106"/>
      <c r="Q1528" s="106"/>
      <c r="R1528" s="106"/>
      <c r="S1528" s="106"/>
    </row>
    <row r="1529" spans="1:19" s="105" customFormat="1">
      <c r="A1529" s="106"/>
      <c r="B1529" s="175" t="s">
        <v>19</v>
      </c>
      <c r="C1529" s="139"/>
      <c r="D1529" s="140"/>
      <c r="E1529" s="139"/>
      <c r="F1529" s="139"/>
      <c r="G1529" s="140"/>
      <c r="H1529" s="139"/>
      <c r="I1529" s="143"/>
      <c r="J1529" s="143"/>
      <c r="K1529" s="143"/>
      <c r="N1529" s="106"/>
      <c r="O1529" s="106"/>
      <c r="P1529" s="106"/>
      <c r="Q1529" s="106"/>
      <c r="R1529" s="106"/>
      <c r="S1529" s="106"/>
    </row>
    <row r="1530" spans="1:19" s="105" customFormat="1">
      <c r="A1530" s="106"/>
      <c r="B1530" s="175" t="s">
        <v>50</v>
      </c>
      <c r="C1530" s="139"/>
      <c r="D1530" s="140"/>
      <c r="E1530" s="139"/>
      <c r="F1530" s="139"/>
      <c r="G1530" s="140"/>
      <c r="H1530" s="139"/>
      <c r="I1530" s="143"/>
      <c r="J1530" s="143"/>
      <c r="K1530" s="143"/>
      <c r="N1530" s="106"/>
      <c r="O1530" s="106"/>
      <c r="P1530" s="106"/>
      <c r="Q1530" s="106"/>
      <c r="R1530" s="106"/>
      <c r="S1530" s="106"/>
    </row>
    <row r="1531" spans="1:19" s="105" customFormat="1" ht="27.75" customHeight="1">
      <c r="A1531" s="106"/>
      <c r="B1531" s="194" t="s">
        <v>17</v>
      </c>
      <c r="C1531" s="139"/>
      <c r="D1531" s="140"/>
      <c r="E1531" s="139"/>
      <c r="F1531" s="139"/>
      <c r="G1531" s="140"/>
      <c r="H1531" s="139"/>
      <c r="I1531" s="141"/>
      <c r="J1531" s="142"/>
      <c r="K1531" s="143"/>
      <c r="N1531" s="106"/>
      <c r="O1531" s="106"/>
      <c r="P1531" s="106"/>
      <c r="Q1531" s="106"/>
      <c r="R1531" s="106"/>
      <c r="S1531" s="106"/>
    </row>
    <row r="1532" spans="1:19" s="105" customFormat="1" ht="27.75" customHeight="1">
      <c r="A1532" s="106"/>
      <c r="B1532" s="194" t="s">
        <v>18</v>
      </c>
      <c r="C1532" s="139"/>
      <c r="D1532" s="140"/>
      <c r="E1532" s="139"/>
      <c r="F1532" s="139"/>
      <c r="G1532" s="140"/>
      <c r="H1532" s="139"/>
      <c r="I1532" s="141"/>
      <c r="J1532" s="142"/>
      <c r="K1532" s="143"/>
      <c r="N1532" s="106"/>
      <c r="O1532" s="106"/>
      <c r="P1532" s="106"/>
      <c r="Q1532" s="106"/>
      <c r="R1532" s="106"/>
      <c r="S1532" s="106"/>
    </row>
    <row r="1533" spans="1:19" s="105" customFormat="1">
      <c r="A1533" s="106"/>
      <c r="B1533" s="175" t="s">
        <v>22</v>
      </c>
      <c r="C1533" s="139"/>
      <c r="D1533" s="140"/>
      <c r="E1533" s="139"/>
      <c r="F1533" s="139"/>
      <c r="G1533" s="140"/>
      <c r="H1533" s="139"/>
      <c r="I1533" s="141"/>
      <c r="J1533" s="142"/>
      <c r="K1533" s="143"/>
      <c r="N1533" s="106"/>
      <c r="O1533" s="106"/>
      <c r="P1533" s="106"/>
      <c r="Q1533" s="106"/>
      <c r="R1533" s="106"/>
      <c r="S1533" s="106"/>
    </row>
    <row r="1534" spans="1:19" s="105" customFormat="1">
      <c r="A1534" s="106"/>
      <c r="B1534" s="175" t="s">
        <v>51</v>
      </c>
      <c r="C1534" s="139"/>
      <c r="D1534" s="140"/>
      <c r="E1534" s="139"/>
      <c r="F1534" s="139"/>
      <c r="G1534" s="140"/>
      <c r="H1534" s="139"/>
      <c r="I1534" s="141"/>
      <c r="J1534" s="142"/>
      <c r="K1534" s="143"/>
      <c r="N1534" s="106"/>
      <c r="O1534" s="106"/>
      <c r="P1534" s="106"/>
      <c r="Q1534" s="106"/>
      <c r="R1534" s="106"/>
      <c r="S1534" s="106"/>
    </row>
    <row r="1535" spans="1:19" s="105" customFormat="1">
      <c r="A1535" s="106"/>
      <c r="B1535" s="194" t="s">
        <v>23</v>
      </c>
      <c r="C1535" s="139"/>
      <c r="D1535" s="140"/>
      <c r="E1535" s="139"/>
      <c r="F1535" s="139"/>
      <c r="G1535" s="140"/>
      <c r="H1535" s="139"/>
      <c r="I1535" s="141"/>
      <c r="J1535" s="142"/>
      <c r="K1535" s="143"/>
      <c r="N1535" s="106"/>
      <c r="O1535" s="106"/>
      <c r="P1535" s="106"/>
      <c r="Q1535" s="106"/>
      <c r="R1535" s="106"/>
      <c r="S1535" s="106"/>
    </row>
    <row r="1536" spans="1:19" s="105" customFormat="1">
      <c r="A1536" s="106"/>
      <c r="B1536" s="175" t="s">
        <v>20</v>
      </c>
      <c r="C1536" s="139"/>
      <c r="D1536" s="140"/>
      <c r="E1536" s="139"/>
      <c r="F1536" s="139"/>
      <c r="G1536" s="140"/>
      <c r="H1536" s="139"/>
      <c r="I1536" s="141"/>
      <c r="J1536" s="142"/>
      <c r="K1536" s="143"/>
      <c r="N1536" s="106"/>
      <c r="O1536" s="106"/>
      <c r="P1536" s="106"/>
      <c r="Q1536" s="106"/>
      <c r="R1536" s="106"/>
      <c r="S1536" s="106"/>
    </row>
    <row r="1537" spans="1:19" s="105" customFormat="1">
      <c r="A1537" s="106"/>
      <c r="B1537" s="175" t="s">
        <v>51</v>
      </c>
      <c r="C1537" s="139"/>
      <c r="D1537" s="140"/>
      <c r="E1537" s="139"/>
      <c r="F1537" s="139"/>
      <c r="G1537" s="140"/>
      <c r="H1537" s="139"/>
      <c r="I1537" s="141"/>
      <c r="J1537" s="142"/>
      <c r="K1537" s="143"/>
      <c r="N1537" s="106"/>
      <c r="O1537" s="106"/>
      <c r="P1537" s="106"/>
      <c r="Q1537" s="106"/>
      <c r="R1537" s="106"/>
      <c r="S1537" s="106"/>
    </row>
    <row r="1538" spans="1:19" s="105" customFormat="1">
      <c r="A1538" s="106"/>
      <c r="B1538" s="194" t="s">
        <v>23</v>
      </c>
      <c r="C1538" s="139"/>
      <c r="D1538" s="140"/>
      <c r="E1538" s="139"/>
      <c r="F1538" s="139"/>
      <c r="G1538" s="140"/>
      <c r="H1538" s="139"/>
      <c r="I1538" s="141"/>
      <c r="J1538" s="142"/>
      <c r="K1538" s="143"/>
      <c r="N1538" s="106"/>
      <c r="O1538" s="106"/>
      <c r="P1538" s="106"/>
      <c r="Q1538" s="106"/>
      <c r="R1538" s="106"/>
      <c r="S1538" s="106"/>
    </row>
    <row r="1539" spans="1:19" s="105" customFormat="1">
      <c r="A1539" s="106"/>
      <c r="B1539" s="175" t="s">
        <v>53</v>
      </c>
      <c r="C1539" s="139"/>
      <c r="D1539" s="140"/>
      <c r="E1539" s="139">
        <f>+E1541</f>
        <v>3.85</v>
      </c>
      <c r="F1539" s="139"/>
      <c r="G1539" s="140"/>
      <c r="H1539" s="139">
        <f>+H1541</f>
        <v>21.51</v>
      </c>
      <c r="I1539" s="141">
        <f t="shared" ref="I1539:I1580" si="57">+H1539-E1539</f>
        <v>17.66</v>
      </c>
      <c r="J1539" s="142">
        <f t="shared" ref="J1539:J1580" si="58">+I1539*100/H1539</f>
        <v>82.101348210134816</v>
      </c>
      <c r="K1539" s="143"/>
      <c r="N1539" s="106"/>
      <c r="O1539" s="106"/>
      <c r="P1539" s="106"/>
      <c r="Q1539" s="106"/>
      <c r="R1539" s="106"/>
      <c r="S1539" s="106"/>
    </row>
    <row r="1540" spans="1:19" s="105" customFormat="1">
      <c r="A1540" s="106"/>
      <c r="B1540" s="175" t="s">
        <v>52</v>
      </c>
      <c r="C1540" s="139"/>
      <c r="D1540" s="140"/>
      <c r="E1540" s="139"/>
      <c r="F1540" s="139"/>
      <c r="G1540" s="140"/>
      <c r="H1540" s="139"/>
      <c r="I1540" s="141">
        <f t="shared" si="57"/>
        <v>0</v>
      </c>
      <c r="J1540" s="142"/>
      <c r="K1540" s="143"/>
      <c r="N1540" s="106"/>
      <c r="O1540" s="106"/>
      <c r="P1540" s="106"/>
      <c r="Q1540" s="106"/>
      <c r="R1540" s="106"/>
      <c r="S1540" s="106"/>
    </row>
    <row r="1541" spans="1:19" s="105" customFormat="1" ht="93.75">
      <c r="A1541" s="106"/>
      <c r="B1541" s="175" t="s">
        <v>182</v>
      </c>
      <c r="C1541" s="139"/>
      <c r="D1541" s="140"/>
      <c r="E1541" s="139">
        <v>3.85</v>
      </c>
      <c r="F1541" s="139"/>
      <c r="G1541" s="140"/>
      <c r="H1541" s="139">
        <v>21.51</v>
      </c>
      <c r="I1541" s="141">
        <f t="shared" si="57"/>
        <v>17.66</v>
      </c>
      <c r="J1541" s="142">
        <f t="shared" si="58"/>
        <v>82.101348210134816</v>
      </c>
      <c r="K1541" s="175" t="s">
        <v>913</v>
      </c>
      <c r="N1541" s="106"/>
      <c r="O1541" s="106"/>
      <c r="P1541" s="106"/>
      <c r="Q1541" s="106"/>
      <c r="R1541" s="106"/>
      <c r="S1541" s="106"/>
    </row>
    <row r="1542" spans="1:19" s="105" customFormat="1">
      <c r="A1542" s="106"/>
      <c r="B1542" s="175"/>
      <c r="C1542" s="139"/>
      <c r="D1542" s="140"/>
      <c r="E1542" s="139"/>
      <c r="F1542" s="139"/>
      <c r="G1542" s="140"/>
      <c r="H1542" s="139"/>
      <c r="I1542" s="141"/>
      <c r="J1542" s="142"/>
      <c r="K1542" s="143"/>
      <c r="N1542" s="106"/>
      <c r="O1542" s="106"/>
      <c r="P1542" s="106"/>
      <c r="Q1542" s="106"/>
      <c r="R1542" s="106"/>
      <c r="S1542" s="106"/>
    </row>
    <row r="1543" spans="1:19" s="105" customFormat="1">
      <c r="A1543" s="106"/>
      <c r="B1543" s="175" t="s">
        <v>56</v>
      </c>
      <c r="C1543" s="139"/>
      <c r="D1543" s="140"/>
      <c r="E1543" s="139">
        <f>SUM(E1544:E1544)</f>
        <v>0</v>
      </c>
      <c r="F1543" s="139"/>
      <c r="G1543" s="140"/>
      <c r="H1543" s="139">
        <f>SUM(H1544:H1544)</f>
        <v>0</v>
      </c>
      <c r="I1543" s="143"/>
      <c r="J1543" s="143"/>
      <c r="K1543" s="143"/>
      <c r="N1543" s="106"/>
      <c r="O1543" s="106"/>
      <c r="P1543" s="106"/>
      <c r="Q1543" s="106"/>
      <c r="R1543" s="106"/>
      <c r="S1543" s="106"/>
    </row>
    <row r="1544" spans="1:19" s="105" customFormat="1">
      <c r="A1544" s="106"/>
      <c r="B1544" s="175"/>
      <c r="C1544" s="139"/>
      <c r="D1544" s="140"/>
      <c r="E1544" s="139"/>
      <c r="F1544" s="139"/>
      <c r="G1544" s="140"/>
      <c r="H1544" s="139"/>
      <c r="I1544" s="143"/>
      <c r="J1544" s="143"/>
      <c r="K1544" s="143"/>
      <c r="N1544" s="106"/>
      <c r="O1544" s="106"/>
      <c r="P1544" s="106"/>
      <c r="Q1544" s="106"/>
      <c r="R1544" s="106"/>
      <c r="S1544" s="106"/>
    </row>
    <row r="1545" spans="1:19" s="105" customFormat="1">
      <c r="A1545" s="106"/>
      <c r="B1545" s="175"/>
      <c r="C1545" s="139"/>
      <c r="D1545" s="140"/>
      <c r="E1545" s="139"/>
      <c r="F1545" s="139"/>
      <c r="G1545" s="140"/>
      <c r="H1545" s="139"/>
      <c r="I1545" s="143"/>
      <c r="J1545" s="143"/>
      <c r="K1545" s="143"/>
      <c r="N1545" s="106"/>
      <c r="O1545" s="106"/>
      <c r="P1545" s="106"/>
      <c r="Q1545" s="106"/>
      <c r="R1545" s="106"/>
      <c r="S1545" s="106"/>
    </row>
    <row r="1546" spans="1:19" s="105" customFormat="1" ht="37.5">
      <c r="A1546" s="106"/>
      <c r="B1546" s="286" t="s">
        <v>928</v>
      </c>
      <c r="C1546" s="139"/>
      <c r="D1546" s="140"/>
      <c r="E1546" s="139">
        <f>+E1547</f>
        <v>0</v>
      </c>
      <c r="F1546" s="139"/>
      <c r="G1546" s="140"/>
      <c r="H1546" s="139">
        <f>+H1547</f>
        <v>10</v>
      </c>
      <c r="I1546" s="141">
        <f t="shared" si="57"/>
        <v>10</v>
      </c>
      <c r="J1546" s="142">
        <f t="shared" si="58"/>
        <v>100</v>
      </c>
      <c r="K1546" s="143"/>
      <c r="N1546" s="106"/>
      <c r="O1546" s="106"/>
      <c r="P1546" s="106"/>
      <c r="Q1546" s="106"/>
      <c r="R1546" s="106"/>
      <c r="S1546" s="106"/>
    </row>
    <row r="1547" spans="1:19" s="105" customFormat="1" ht="37.5">
      <c r="A1547" s="106"/>
      <c r="B1547" s="286" t="s">
        <v>929</v>
      </c>
      <c r="C1547" s="139"/>
      <c r="D1547" s="140"/>
      <c r="E1547" s="139">
        <f>+E1548</f>
        <v>0</v>
      </c>
      <c r="F1547" s="139"/>
      <c r="G1547" s="140"/>
      <c r="H1547" s="139">
        <f>+H1548</f>
        <v>10</v>
      </c>
      <c r="I1547" s="141">
        <f t="shared" si="57"/>
        <v>10</v>
      </c>
      <c r="J1547" s="142">
        <f t="shared" si="58"/>
        <v>100</v>
      </c>
      <c r="K1547" s="143"/>
      <c r="N1547" s="106"/>
      <c r="O1547" s="106"/>
      <c r="P1547" s="106"/>
      <c r="Q1547" s="106"/>
      <c r="R1547" s="106"/>
      <c r="S1547" s="106"/>
    </row>
    <row r="1548" spans="1:19" s="105" customFormat="1" ht="37.5">
      <c r="A1548" s="106"/>
      <c r="B1548" s="286" t="s">
        <v>930</v>
      </c>
      <c r="C1548" s="139"/>
      <c r="D1548" s="140"/>
      <c r="E1548" s="139">
        <f>+E1552+E1587+E1610+E1614</f>
        <v>0</v>
      </c>
      <c r="F1548" s="139"/>
      <c r="G1548" s="140"/>
      <c r="H1548" s="139">
        <f>+H1552+H1587+H1610+H1614</f>
        <v>10</v>
      </c>
      <c r="I1548" s="141">
        <f t="shared" si="57"/>
        <v>10</v>
      </c>
      <c r="J1548" s="142">
        <f t="shared" si="58"/>
        <v>100</v>
      </c>
      <c r="K1548" s="143"/>
      <c r="N1548" s="106"/>
      <c r="O1548" s="106"/>
      <c r="P1548" s="106"/>
      <c r="Q1548" s="106"/>
      <c r="R1548" s="106"/>
      <c r="S1548" s="106"/>
    </row>
    <row r="1549" spans="1:19" s="105" customFormat="1">
      <c r="A1549" s="106"/>
      <c r="B1549" s="335" t="s">
        <v>24</v>
      </c>
      <c r="C1549" s="139"/>
      <c r="D1549" s="140"/>
      <c r="E1549" s="139"/>
      <c r="F1549" s="139"/>
      <c r="G1549" s="140"/>
      <c r="H1549" s="139"/>
      <c r="I1549" s="141"/>
      <c r="J1549" s="142"/>
      <c r="K1549" s="143"/>
      <c r="N1549" s="106"/>
      <c r="O1549" s="106"/>
      <c r="P1549" s="106"/>
      <c r="Q1549" s="106"/>
      <c r="R1549" s="106"/>
      <c r="S1549" s="106"/>
    </row>
    <row r="1550" spans="1:19" s="105" customFormat="1" ht="32.25">
      <c r="A1550" s="106"/>
      <c r="B1550" s="325" t="s">
        <v>68</v>
      </c>
      <c r="C1550" s="336" t="s">
        <v>25</v>
      </c>
      <c r="D1550" s="337"/>
      <c r="E1550" s="336" t="s">
        <v>58</v>
      </c>
      <c r="F1550" s="336"/>
      <c r="G1550" s="337" t="s">
        <v>26</v>
      </c>
      <c r="H1550" s="336"/>
      <c r="I1550" s="141"/>
      <c r="J1550" s="142"/>
      <c r="K1550" s="338"/>
      <c r="N1550" s="106"/>
      <c r="O1550" s="106"/>
      <c r="P1550" s="106"/>
      <c r="Q1550" s="106"/>
      <c r="R1550" s="106"/>
      <c r="S1550" s="106"/>
    </row>
    <row r="1551" spans="1:19" s="105" customFormat="1" ht="32.25">
      <c r="A1551" s="106"/>
      <c r="B1551" s="325"/>
      <c r="C1551" s="336" t="s">
        <v>60</v>
      </c>
      <c r="D1551" s="337"/>
      <c r="E1551" s="336" t="s">
        <v>62</v>
      </c>
      <c r="F1551" s="336"/>
      <c r="G1551" s="337" t="s">
        <v>61</v>
      </c>
      <c r="H1551" s="336"/>
      <c r="I1551" s="141"/>
      <c r="J1551" s="142"/>
      <c r="K1551" s="338"/>
      <c r="N1551" s="106"/>
      <c r="O1551" s="106"/>
      <c r="P1551" s="106"/>
      <c r="Q1551" s="106"/>
      <c r="R1551" s="106"/>
      <c r="S1551" s="106"/>
    </row>
    <row r="1552" spans="1:19" s="105" customFormat="1">
      <c r="A1552" s="106"/>
      <c r="B1552" s="175" t="s">
        <v>38</v>
      </c>
      <c r="C1552" s="139"/>
      <c r="D1552" s="140"/>
      <c r="E1552" s="139">
        <f>+E1553+E1581</f>
        <v>0</v>
      </c>
      <c r="F1552" s="139"/>
      <c r="G1552" s="140"/>
      <c r="H1552" s="139">
        <f>+H1553+H1581</f>
        <v>10</v>
      </c>
      <c r="I1552" s="141">
        <f t="shared" si="57"/>
        <v>10</v>
      </c>
      <c r="J1552" s="142">
        <f t="shared" si="58"/>
        <v>100</v>
      </c>
      <c r="K1552" s="143"/>
      <c r="N1552" s="106"/>
      <c r="O1552" s="106"/>
      <c r="P1552" s="106"/>
      <c r="Q1552" s="106"/>
      <c r="R1552" s="106"/>
      <c r="S1552" s="106"/>
    </row>
    <row r="1553" spans="1:19" s="105" customFormat="1">
      <c r="A1553" s="106"/>
      <c r="B1553" s="175" t="s">
        <v>41</v>
      </c>
      <c r="C1553" s="139"/>
      <c r="D1553" s="140"/>
      <c r="E1553" s="139">
        <f>+E1554+E1557+E1578</f>
        <v>0</v>
      </c>
      <c r="F1553" s="139"/>
      <c r="G1553" s="140"/>
      <c r="H1553" s="139">
        <f>+H1554+H1557+H1578</f>
        <v>10</v>
      </c>
      <c r="I1553" s="141">
        <f t="shared" si="57"/>
        <v>10</v>
      </c>
      <c r="J1553" s="142">
        <f t="shared" si="58"/>
        <v>100</v>
      </c>
      <c r="K1553" s="143"/>
      <c r="N1553" s="106"/>
      <c r="O1553" s="106"/>
      <c r="P1553" s="106"/>
      <c r="Q1553" s="106"/>
      <c r="R1553" s="106"/>
      <c r="S1553" s="106"/>
    </row>
    <row r="1554" spans="1:19" s="105" customFormat="1">
      <c r="A1554" s="106"/>
      <c r="B1554" s="175" t="s">
        <v>42</v>
      </c>
      <c r="C1554" s="139"/>
      <c r="D1554" s="140"/>
      <c r="E1554" s="139">
        <f>SUM(E1555:E1555)</f>
        <v>0</v>
      </c>
      <c r="F1554" s="139"/>
      <c r="G1554" s="140"/>
      <c r="H1554" s="139">
        <f>SUM(H1555:H1555)</f>
        <v>0</v>
      </c>
      <c r="I1554" s="141"/>
      <c r="J1554" s="142"/>
      <c r="K1554" s="143"/>
      <c r="N1554" s="106"/>
      <c r="O1554" s="106"/>
      <c r="P1554" s="106"/>
      <c r="Q1554" s="106"/>
      <c r="R1554" s="106"/>
      <c r="S1554" s="106"/>
    </row>
    <row r="1555" spans="1:19" s="105" customFormat="1">
      <c r="A1555" s="106"/>
      <c r="B1555" s="194" t="s">
        <v>112</v>
      </c>
      <c r="C1555" s="139"/>
      <c r="D1555" s="140"/>
      <c r="E1555" s="139"/>
      <c r="F1555" s="139"/>
      <c r="G1555" s="140"/>
      <c r="H1555" s="139"/>
      <c r="I1555" s="139"/>
      <c r="J1555" s="139"/>
      <c r="K1555" s="143"/>
      <c r="N1555" s="106"/>
      <c r="O1555" s="106"/>
      <c r="P1555" s="106"/>
      <c r="Q1555" s="106"/>
      <c r="R1555" s="106"/>
      <c r="S1555" s="106"/>
    </row>
    <row r="1556" spans="1:19" s="105" customFormat="1">
      <c r="A1556" s="106"/>
      <c r="B1556" s="194"/>
      <c r="C1556" s="139"/>
      <c r="D1556" s="140"/>
      <c r="E1556" s="139"/>
      <c r="F1556" s="139"/>
      <c r="G1556" s="140"/>
      <c r="H1556" s="139"/>
      <c r="I1556" s="139"/>
      <c r="J1556" s="139"/>
      <c r="K1556" s="143"/>
      <c r="N1556" s="106"/>
      <c r="O1556" s="106"/>
      <c r="P1556" s="106"/>
      <c r="Q1556" s="106"/>
      <c r="R1556" s="106"/>
      <c r="S1556" s="106"/>
    </row>
    <row r="1557" spans="1:19" s="105" customFormat="1">
      <c r="A1557" s="106"/>
      <c r="B1557" s="175" t="s">
        <v>43</v>
      </c>
      <c r="C1557" s="139"/>
      <c r="D1557" s="140"/>
      <c r="E1557" s="139">
        <f>SUM(E1559:E1570)</f>
        <v>0</v>
      </c>
      <c r="F1557" s="139"/>
      <c r="G1557" s="140"/>
      <c r="H1557" s="139">
        <f>SUM(H1559:H1570)</f>
        <v>9.9703999999999997</v>
      </c>
      <c r="I1557" s="141">
        <f t="shared" si="57"/>
        <v>9.9703999999999997</v>
      </c>
      <c r="J1557" s="142">
        <f t="shared" si="58"/>
        <v>100</v>
      </c>
      <c r="K1557" s="143"/>
      <c r="N1557" s="106"/>
      <c r="O1557" s="106"/>
      <c r="P1557" s="106"/>
      <c r="Q1557" s="106"/>
      <c r="R1557" s="106"/>
      <c r="S1557" s="106"/>
    </row>
    <row r="1558" spans="1:19" s="105" customFormat="1">
      <c r="A1558" s="106"/>
      <c r="B1558" s="175" t="s">
        <v>19</v>
      </c>
      <c r="C1558" s="139"/>
      <c r="D1558" s="140"/>
      <c r="E1558" s="139"/>
      <c r="F1558" s="139"/>
      <c r="G1558" s="140"/>
      <c r="H1558" s="139"/>
      <c r="I1558" s="141"/>
      <c r="J1558" s="142"/>
      <c r="K1558" s="143"/>
      <c r="N1558" s="106"/>
      <c r="O1558" s="106"/>
      <c r="P1558" s="106"/>
      <c r="Q1558" s="106"/>
      <c r="R1558" s="106"/>
      <c r="S1558" s="106"/>
    </row>
    <row r="1559" spans="1:19" s="105" customFormat="1">
      <c r="A1559" s="106"/>
      <c r="B1559" s="194" t="s">
        <v>85</v>
      </c>
      <c r="C1559" s="139"/>
      <c r="D1559" s="140"/>
      <c r="E1559" s="139"/>
      <c r="F1559" s="139"/>
      <c r="G1559" s="140"/>
      <c r="H1559" s="139">
        <v>8.3199999999999996E-2</v>
      </c>
      <c r="I1559" s="141">
        <f t="shared" si="57"/>
        <v>8.3199999999999996E-2</v>
      </c>
      <c r="J1559" s="142">
        <f t="shared" si="58"/>
        <v>100.00000000000001</v>
      </c>
      <c r="K1559" s="175" t="s">
        <v>914</v>
      </c>
      <c r="N1559" s="106"/>
      <c r="O1559" s="106"/>
      <c r="P1559" s="106"/>
      <c r="Q1559" s="106"/>
      <c r="R1559" s="106"/>
      <c r="S1559" s="106"/>
    </row>
    <row r="1560" spans="1:19" s="105" customFormat="1" ht="37.5">
      <c r="A1560" s="106"/>
      <c r="B1560" s="194"/>
      <c r="C1560" s="139"/>
      <c r="D1560" s="140"/>
      <c r="E1560" s="139"/>
      <c r="F1560" s="139"/>
      <c r="G1560" s="140"/>
      <c r="H1560" s="139"/>
      <c r="I1560" s="141"/>
      <c r="J1560" s="142"/>
      <c r="K1560" s="175" t="s">
        <v>915</v>
      </c>
      <c r="N1560" s="106"/>
      <c r="O1560" s="106"/>
      <c r="P1560" s="106"/>
      <c r="Q1560" s="106"/>
      <c r="R1560" s="106"/>
      <c r="S1560" s="106"/>
    </row>
    <row r="1561" spans="1:19" s="105" customFormat="1" ht="37.5">
      <c r="A1561" s="106"/>
      <c r="B1561" s="194"/>
      <c r="C1561" s="139"/>
      <c r="D1561" s="140"/>
      <c r="E1561" s="139"/>
      <c r="F1561" s="139"/>
      <c r="G1561" s="140"/>
      <c r="H1561" s="139"/>
      <c r="I1561" s="141"/>
      <c r="J1561" s="142"/>
      <c r="K1561" s="175" t="s">
        <v>916</v>
      </c>
      <c r="N1561" s="106"/>
      <c r="O1561" s="106"/>
      <c r="P1561" s="106"/>
      <c r="Q1561" s="106"/>
      <c r="R1561" s="106"/>
      <c r="S1561" s="106"/>
    </row>
    <row r="1562" spans="1:19" s="105" customFormat="1">
      <c r="A1562" s="106"/>
      <c r="B1562" s="194"/>
      <c r="C1562" s="139"/>
      <c r="D1562" s="140"/>
      <c r="E1562" s="139"/>
      <c r="F1562" s="139"/>
      <c r="G1562" s="140"/>
      <c r="H1562" s="139"/>
      <c r="I1562" s="141"/>
      <c r="J1562" s="142"/>
      <c r="K1562" s="175"/>
      <c r="N1562" s="106"/>
      <c r="O1562" s="106"/>
      <c r="P1562" s="106"/>
      <c r="Q1562" s="106"/>
      <c r="R1562" s="106"/>
      <c r="S1562" s="106"/>
    </row>
    <row r="1563" spans="1:19" s="105" customFormat="1">
      <c r="A1563" s="106"/>
      <c r="B1563" s="194"/>
      <c r="C1563" s="139"/>
      <c r="D1563" s="140"/>
      <c r="E1563" s="139"/>
      <c r="F1563" s="139"/>
      <c r="G1563" s="140"/>
      <c r="H1563" s="139"/>
      <c r="I1563" s="141"/>
      <c r="J1563" s="142"/>
      <c r="K1563" s="175"/>
      <c r="N1563" s="106"/>
      <c r="O1563" s="106"/>
      <c r="P1563" s="106"/>
      <c r="Q1563" s="106"/>
      <c r="R1563" s="106"/>
      <c r="S1563" s="106"/>
    </row>
    <row r="1564" spans="1:19" s="105" customFormat="1" ht="56.25">
      <c r="A1564" s="106"/>
      <c r="B1564" s="194" t="s">
        <v>86</v>
      </c>
      <c r="C1564" s="139"/>
      <c r="D1564" s="140"/>
      <c r="E1564" s="139"/>
      <c r="F1564" s="139"/>
      <c r="G1564" s="140"/>
      <c r="H1564" s="139">
        <v>0.872</v>
      </c>
      <c r="I1564" s="141">
        <f t="shared" si="57"/>
        <v>0.872</v>
      </c>
      <c r="J1564" s="142">
        <f t="shared" si="58"/>
        <v>100</v>
      </c>
      <c r="K1564" s="175" t="s">
        <v>917</v>
      </c>
      <c r="N1564" s="106"/>
      <c r="O1564" s="106"/>
      <c r="P1564" s="106"/>
      <c r="Q1564" s="106"/>
      <c r="R1564" s="106"/>
      <c r="S1564" s="106"/>
    </row>
    <row r="1565" spans="1:19" s="105" customFormat="1" ht="56.25">
      <c r="A1565" s="106"/>
      <c r="B1565" s="194"/>
      <c r="C1565" s="139"/>
      <c r="D1565" s="140"/>
      <c r="E1565" s="139"/>
      <c r="F1565" s="139"/>
      <c r="G1565" s="140"/>
      <c r="H1565" s="139"/>
      <c r="I1565" s="141"/>
      <c r="J1565" s="142"/>
      <c r="K1565" s="175" t="s">
        <v>918</v>
      </c>
      <c r="N1565" s="106"/>
      <c r="O1565" s="106"/>
      <c r="P1565" s="106"/>
      <c r="Q1565" s="106"/>
      <c r="R1565" s="106"/>
      <c r="S1565" s="106"/>
    </row>
    <row r="1566" spans="1:19" s="105" customFormat="1" ht="75">
      <c r="A1566" s="106"/>
      <c r="B1566" s="194" t="s">
        <v>157</v>
      </c>
      <c r="C1566" s="139"/>
      <c r="D1566" s="140"/>
      <c r="E1566" s="139"/>
      <c r="F1566" s="139"/>
      <c r="G1566" s="140"/>
      <c r="H1566" s="139">
        <v>6.8352000000000004</v>
      </c>
      <c r="I1566" s="141">
        <f t="shared" si="57"/>
        <v>6.8352000000000004</v>
      </c>
      <c r="J1566" s="142">
        <f t="shared" si="58"/>
        <v>99.999999999999986</v>
      </c>
      <c r="K1566" s="175" t="s">
        <v>919</v>
      </c>
      <c r="N1566" s="106"/>
      <c r="O1566" s="106"/>
      <c r="P1566" s="106"/>
      <c r="Q1566" s="106"/>
      <c r="R1566" s="106"/>
      <c r="S1566" s="106"/>
    </row>
    <row r="1567" spans="1:19" s="105" customFormat="1" ht="37.5">
      <c r="A1567" s="106"/>
      <c r="B1567" s="194"/>
      <c r="C1567" s="139"/>
      <c r="D1567" s="140"/>
      <c r="E1567" s="139"/>
      <c r="F1567" s="139"/>
      <c r="G1567" s="140"/>
      <c r="H1567" s="139"/>
      <c r="I1567" s="141"/>
      <c r="J1567" s="142"/>
      <c r="K1567" s="175" t="s">
        <v>920</v>
      </c>
      <c r="N1567" s="106"/>
      <c r="O1567" s="106"/>
      <c r="P1567" s="106"/>
      <c r="Q1567" s="106"/>
      <c r="R1567" s="106"/>
      <c r="S1567" s="106"/>
    </row>
    <row r="1568" spans="1:19" s="105" customFormat="1">
      <c r="A1568" s="106"/>
      <c r="B1568" s="194" t="s">
        <v>88</v>
      </c>
      <c r="C1568" s="139"/>
      <c r="D1568" s="140"/>
      <c r="E1568" s="139"/>
      <c r="F1568" s="139"/>
      <c r="G1568" s="140"/>
      <c r="H1568" s="139"/>
      <c r="I1568" s="141"/>
      <c r="J1568" s="142"/>
      <c r="K1568" s="143"/>
      <c r="N1568" s="106"/>
      <c r="O1568" s="106"/>
      <c r="P1568" s="106"/>
      <c r="Q1568" s="106"/>
      <c r="R1568" s="106"/>
      <c r="S1568" s="106"/>
    </row>
    <row r="1569" spans="1:19" s="105" customFormat="1" ht="75">
      <c r="A1569" s="106"/>
      <c r="B1569" s="194" t="s">
        <v>921</v>
      </c>
      <c r="C1569" s="139"/>
      <c r="D1569" s="140"/>
      <c r="E1569" s="139"/>
      <c r="F1569" s="139"/>
      <c r="G1569" s="140"/>
      <c r="H1569" s="139">
        <v>2</v>
      </c>
      <c r="I1569" s="141">
        <f t="shared" si="57"/>
        <v>2</v>
      </c>
      <c r="J1569" s="142">
        <f t="shared" si="58"/>
        <v>100</v>
      </c>
      <c r="K1569" s="175" t="s">
        <v>922</v>
      </c>
      <c r="N1569" s="106"/>
      <c r="O1569" s="106"/>
      <c r="P1569" s="106"/>
      <c r="Q1569" s="106"/>
      <c r="R1569" s="106"/>
      <c r="S1569" s="106"/>
    </row>
    <row r="1570" spans="1:19" s="105" customFormat="1" ht="40.5">
      <c r="A1570" s="106"/>
      <c r="B1570" s="175" t="s">
        <v>69</v>
      </c>
      <c r="C1570" s="139"/>
      <c r="D1570" s="140"/>
      <c r="E1570" s="139"/>
      <c r="F1570" s="139"/>
      <c r="G1570" s="140"/>
      <c r="H1570" s="139">
        <f>+H1573</f>
        <v>0.18</v>
      </c>
      <c r="I1570" s="141">
        <f t="shared" si="57"/>
        <v>0.18</v>
      </c>
      <c r="J1570" s="142">
        <f t="shared" si="58"/>
        <v>100</v>
      </c>
      <c r="K1570" s="143"/>
      <c r="N1570" s="106"/>
      <c r="O1570" s="106"/>
      <c r="P1570" s="106"/>
      <c r="Q1570" s="106"/>
      <c r="R1570" s="106"/>
      <c r="S1570" s="106"/>
    </row>
    <row r="1571" spans="1:19" s="105" customFormat="1">
      <c r="A1571" s="106"/>
      <c r="B1571" s="194" t="s">
        <v>2</v>
      </c>
      <c r="C1571" s="139"/>
      <c r="D1571" s="140"/>
      <c r="E1571" s="139"/>
      <c r="F1571" s="139"/>
      <c r="G1571" s="140"/>
      <c r="H1571" s="139"/>
      <c r="I1571" s="141"/>
      <c r="J1571" s="142"/>
      <c r="K1571" s="143"/>
      <c r="N1571" s="106"/>
      <c r="O1571" s="106"/>
      <c r="P1571" s="106"/>
      <c r="Q1571" s="106"/>
      <c r="R1571" s="106"/>
      <c r="S1571" s="106"/>
    </row>
    <row r="1572" spans="1:19" s="105" customFormat="1">
      <c r="A1572" s="106"/>
      <c r="B1572" s="194" t="s">
        <v>3</v>
      </c>
      <c r="C1572" s="139"/>
      <c r="D1572" s="140"/>
      <c r="E1572" s="139"/>
      <c r="F1572" s="139"/>
      <c r="G1572" s="140"/>
      <c r="H1572" s="139"/>
      <c r="I1572" s="141"/>
      <c r="J1572" s="142"/>
      <c r="K1572" s="143"/>
      <c r="N1572" s="106"/>
      <c r="O1572" s="106"/>
      <c r="P1572" s="106"/>
      <c r="Q1572" s="106"/>
      <c r="R1572" s="106"/>
      <c r="S1572" s="106"/>
    </row>
    <row r="1573" spans="1:19" s="105" customFormat="1" ht="75">
      <c r="A1573" s="106"/>
      <c r="B1573" s="194" t="s">
        <v>923</v>
      </c>
      <c r="C1573" s="139"/>
      <c r="D1573" s="140"/>
      <c r="E1573" s="139"/>
      <c r="F1573" s="139"/>
      <c r="G1573" s="140"/>
      <c r="H1573" s="139">
        <v>0.18</v>
      </c>
      <c r="I1573" s="141">
        <f t="shared" si="57"/>
        <v>0.18</v>
      </c>
      <c r="J1573" s="142">
        <f t="shared" si="58"/>
        <v>100</v>
      </c>
      <c r="K1573" s="175" t="s">
        <v>924</v>
      </c>
      <c r="N1573" s="106"/>
      <c r="O1573" s="106"/>
      <c r="P1573" s="106"/>
      <c r="Q1573" s="106"/>
      <c r="R1573" s="106"/>
      <c r="S1573" s="106"/>
    </row>
    <row r="1574" spans="1:19" s="105" customFormat="1">
      <c r="A1574" s="106"/>
      <c r="B1574" s="175" t="s">
        <v>22</v>
      </c>
      <c r="C1574" s="139"/>
      <c r="D1574" s="140"/>
      <c r="E1574" s="139"/>
      <c r="F1574" s="139"/>
      <c r="G1574" s="140"/>
      <c r="H1574" s="139"/>
      <c r="I1574" s="141"/>
      <c r="J1574" s="142"/>
      <c r="K1574" s="143"/>
      <c r="N1574" s="106"/>
      <c r="O1574" s="106"/>
      <c r="P1574" s="106"/>
      <c r="Q1574" s="106"/>
      <c r="R1574" s="106"/>
      <c r="S1574" s="106"/>
    </row>
    <row r="1575" spans="1:19" s="105" customFormat="1">
      <c r="A1575" s="106"/>
      <c r="B1575" s="194" t="s">
        <v>21</v>
      </c>
      <c r="C1575" s="139"/>
      <c r="D1575" s="140"/>
      <c r="E1575" s="139"/>
      <c r="F1575" s="139"/>
      <c r="G1575" s="140"/>
      <c r="H1575" s="139"/>
      <c r="I1575" s="141"/>
      <c r="J1575" s="142"/>
      <c r="K1575" s="143"/>
      <c r="N1575" s="106"/>
      <c r="O1575" s="106"/>
      <c r="P1575" s="106"/>
      <c r="Q1575" s="106"/>
      <c r="R1575" s="106"/>
      <c r="S1575" s="106"/>
    </row>
    <row r="1576" spans="1:19" s="105" customFormat="1">
      <c r="A1576" s="106"/>
      <c r="B1576" s="175" t="s">
        <v>20</v>
      </c>
      <c r="C1576" s="139"/>
      <c r="D1576" s="140"/>
      <c r="E1576" s="139"/>
      <c r="F1576" s="139"/>
      <c r="G1576" s="140"/>
      <c r="H1576" s="139"/>
      <c r="I1576" s="141"/>
      <c r="J1576" s="142"/>
      <c r="K1576" s="143"/>
      <c r="N1576" s="106"/>
      <c r="O1576" s="106"/>
      <c r="P1576" s="106"/>
      <c r="Q1576" s="106"/>
      <c r="R1576" s="106"/>
      <c r="S1576" s="106"/>
    </row>
    <row r="1577" spans="1:19" s="105" customFormat="1">
      <c r="A1577" s="106"/>
      <c r="B1577" s="194" t="s">
        <v>17</v>
      </c>
      <c r="C1577" s="139"/>
      <c r="D1577" s="140"/>
      <c r="E1577" s="139"/>
      <c r="F1577" s="139"/>
      <c r="G1577" s="140"/>
      <c r="H1577" s="139"/>
      <c r="I1577" s="141"/>
      <c r="J1577" s="142"/>
      <c r="K1577" s="143"/>
      <c r="N1577" s="106"/>
      <c r="O1577" s="106"/>
      <c r="P1577" s="106"/>
      <c r="Q1577" s="106"/>
      <c r="R1577" s="106"/>
      <c r="S1577" s="106"/>
    </row>
    <row r="1578" spans="1:19" s="105" customFormat="1">
      <c r="A1578" s="106"/>
      <c r="B1578" s="175" t="s">
        <v>44</v>
      </c>
      <c r="C1578" s="139"/>
      <c r="D1578" s="140"/>
      <c r="E1578" s="139">
        <f>SUM(E1579:E1580)</f>
        <v>0</v>
      </c>
      <c r="F1578" s="139"/>
      <c r="G1578" s="140"/>
      <c r="H1578" s="139">
        <f>SUM(H1579:H1580)</f>
        <v>2.9600000000000001E-2</v>
      </c>
      <c r="I1578" s="141">
        <f t="shared" si="57"/>
        <v>2.9600000000000001E-2</v>
      </c>
      <c r="J1578" s="142">
        <f t="shared" si="58"/>
        <v>100</v>
      </c>
      <c r="K1578" s="143"/>
      <c r="N1578" s="106"/>
      <c r="O1578" s="106"/>
      <c r="P1578" s="106"/>
      <c r="Q1578" s="106"/>
      <c r="R1578" s="106"/>
      <c r="S1578" s="106"/>
    </row>
    <row r="1579" spans="1:19" s="105" customFormat="1">
      <c r="A1579" s="106"/>
      <c r="B1579" s="194" t="s">
        <v>90</v>
      </c>
      <c r="C1579" s="139"/>
      <c r="D1579" s="140"/>
      <c r="E1579" s="139"/>
      <c r="F1579" s="139"/>
      <c r="G1579" s="140"/>
      <c r="H1579" s="139"/>
      <c r="I1579" s="141"/>
      <c r="J1579" s="142"/>
      <c r="K1579" s="175"/>
      <c r="N1579" s="106"/>
      <c r="O1579" s="106"/>
      <c r="P1579" s="106"/>
      <c r="Q1579" s="106"/>
      <c r="R1579" s="106"/>
      <c r="S1579" s="106"/>
    </row>
    <row r="1580" spans="1:19" s="105" customFormat="1" ht="37.5">
      <c r="A1580" s="106"/>
      <c r="B1580" s="194" t="s">
        <v>91</v>
      </c>
      <c r="C1580" s="139"/>
      <c r="D1580" s="140"/>
      <c r="E1580" s="139"/>
      <c r="F1580" s="139"/>
      <c r="G1580" s="140"/>
      <c r="H1580" s="139">
        <v>2.9600000000000001E-2</v>
      </c>
      <c r="I1580" s="141">
        <f t="shared" si="57"/>
        <v>2.9600000000000001E-2</v>
      </c>
      <c r="J1580" s="142">
        <f t="shared" si="58"/>
        <v>100</v>
      </c>
      <c r="K1580" s="175" t="s">
        <v>777</v>
      </c>
      <c r="N1580" s="106"/>
      <c r="O1580" s="106"/>
      <c r="P1580" s="106"/>
      <c r="Q1580" s="106"/>
      <c r="R1580" s="106"/>
      <c r="S1580" s="106"/>
    </row>
    <row r="1581" spans="1:19" s="105" customFormat="1">
      <c r="A1581" s="106"/>
      <c r="B1581" s="175" t="s">
        <v>45</v>
      </c>
      <c r="C1581" s="139"/>
      <c r="D1581" s="140"/>
      <c r="E1581" s="139">
        <f>SUM(E1582:E1586)</f>
        <v>0</v>
      </c>
      <c r="F1581" s="139"/>
      <c r="G1581" s="140"/>
      <c r="H1581" s="139">
        <f>SUM(H1582:H1586)</f>
        <v>0</v>
      </c>
      <c r="I1581" s="141"/>
      <c r="J1581" s="142"/>
      <c r="K1581" s="143"/>
      <c r="N1581" s="106"/>
      <c r="O1581" s="106"/>
      <c r="P1581" s="106"/>
      <c r="Q1581" s="106"/>
      <c r="R1581" s="106"/>
      <c r="S1581" s="106"/>
    </row>
    <row r="1582" spans="1:19" s="105" customFormat="1">
      <c r="A1582" s="106"/>
      <c r="B1582" s="194" t="s">
        <v>106</v>
      </c>
      <c r="C1582" s="139"/>
      <c r="D1582" s="140"/>
      <c r="E1582" s="139"/>
      <c r="F1582" s="139"/>
      <c r="G1582" s="140"/>
      <c r="H1582" s="139"/>
      <c r="I1582" s="139"/>
      <c r="J1582" s="139"/>
      <c r="K1582" s="143"/>
      <c r="N1582" s="106"/>
      <c r="O1582" s="106"/>
      <c r="P1582" s="106"/>
      <c r="Q1582" s="106"/>
      <c r="R1582" s="106"/>
      <c r="S1582" s="106"/>
    </row>
    <row r="1583" spans="1:19" s="105" customFormat="1">
      <c r="A1583" s="106"/>
      <c r="B1583" s="194" t="s">
        <v>107</v>
      </c>
      <c r="C1583" s="139"/>
      <c r="D1583" s="140"/>
      <c r="E1583" s="139"/>
      <c r="F1583" s="139"/>
      <c r="G1583" s="140"/>
      <c r="H1583" s="139"/>
      <c r="I1583" s="139"/>
      <c r="J1583" s="139"/>
      <c r="K1583" s="143"/>
      <c r="N1583" s="106"/>
      <c r="O1583" s="106"/>
      <c r="P1583" s="106"/>
      <c r="Q1583" s="106"/>
      <c r="R1583" s="106"/>
      <c r="S1583" s="106"/>
    </row>
    <row r="1584" spans="1:19" s="105" customFormat="1">
      <c r="A1584" s="106"/>
      <c r="B1584" s="194" t="s">
        <v>108</v>
      </c>
      <c r="C1584" s="139"/>
      <c r="D1584" s="140"/>
      <c r="E1584" s="139"/>
      <c r="F1584" s="139"/>
      <c r="G1584" s="140"/>
      <c r="H1584" s="139"/>
      <c r="I1584" s="139"/>
      <c r="J1584" s="139"/>
      <c r="K1584" s="143"/>
      <c r="N1584" s="106"/>
      <c r="O1584" s="106"/>
      <c r="P1584" s="106"/>
      <c r="Q1584" s="106"/>
      <c r="R1584" s="106"/>
      <c r="S1584" s="106"/>
    </row>
    <row r="1585" spans="1:19" s="105" customFormat="1">
      <c r="A1585" s="106"/>
      <c r="B1585" s="194" t="s">
        <v>109</v>
      </c>
      <c r="C1585" s="139"/>
      <c r="D1585" s="140"/>
      <c r="E1585" s="139"/>
      <c r="F1585" s="139"/>
      <c r="G1585" s="140"/>
      <c r="H1585" s="139"/>
      <c r="I1585" s="139"/>
      <c r="J1585" s="139"/>
      <c r="K1585" s="143"/>
      <c r="N1585" s="106"/>
      <c r="O1585" s="106"/>
      <c r="P1585" s="106"/>
      <c r="Q1585" s="106"/>
      <c r="R1585" s="106"/>
      <c r="S1585" s="106"/>
    </row>
    <row r="1586" spans="1:19" s="105" customFormat="1">
      <c r="A1586" s="106"/>
      <c r="B1586" s="194" t="s">
        <v>111</v>
      </c>
      <c r="C1586" s="139"/>
      <c r="D1586" s="140"/>
      <c r="E1586" s="139"/>
      <c r="F1586" s="139"/>
      <c r="G1586" s="140"/>
      <c r="H1586" s="139"/>
      <c r="I1586" s="139"/>
      <c r="J1586" s="139"/>
      <c r="K1586" s="143"/>
      <c r="N1586" s="106"/>
      <c r="O1586" s="106"/>
      <c r="P1586" s="106"/>
      <c r="Q1586" s="106"/>
      <c r="R1586" s="106"/>
      <c r="S1586" s="106"/>
    </row>
    <row r="1587" spans="1:19" s="105" customFormat="1">
      <c r="A1587" s="106"/>
      <c r="B1587" s="175" t="s">
        <v>46</v>
      </c>
      <c r="C1587" s="139"/>
      <c r="D1587" s="140"/>
      <c r="E1587" s="139">
        <f>+E1588+E1599</f>
        <v>0</v>
      </c>
      <c r="F1587" s="139"/>
      <c r="G1587" s="140"/>
      <c r="H1587" s="139">
        <f>+H1588+H1599</f>
        <v>0</v>
      </c>
      <c r="I1587" s="143"/>
      <c r="J1587" s="143"/>
      <c r="K1587" s="143"/>
      <c r="N1587" s="106"/>
      <c r="O1587" s="106"/>
      <c r="P1587" s="106"/>
      <c r="Q1587" s="106"/>
      <c r="R1587" s="106"/>
      <c r="S1587" s="106"/>
    </row>
    <row r="1588" spans="1:19" s="105" customFormat="1">
      <c r="A1588" s="106"/>
      <c r="B1588" s="175" t="s">
        <v>47</v>
      </c>
      <c r="C1588" s="139"/>
      <c r="D1588" s="140"/>
      <c r="E1588" s="139">
        <f>+E1590</f>
        <v>0</v>
      </c>
      <c r="F1588" s="139"/>
      <c r="G1588" s="140"/>
      <c r="H1588" s="139">
        <f>+H1590</f>
        <v>0</v>
      </c>
      <c r="I1588" s="143"/>
      <c r="J1588" s="143"/>
      <c r="K1588" s="143"/>
      <c r="N1588" s="106"/>
      <c r="O1588" s="106"/>
      <c r="P1588" s="106"/>
      <c r="Q1588" s="106"/>
      <c r="R1588" s="106"/>
      <c r="S1588" s="106"/>
    </row>
    <row r="1589" spans="1:19" s="105" customFormat="1">
      <c r="A1589" s="106"/>
      <c r="B1589" s="175" t="s">
        <v>19</v>
      </c>
      <c r="C1589" s="139"/>
      <c r="D1589" s="140"/>
      <c r="E1589" s="139"/>
      <c r="F1589" s="139"/>
      <c r="G1589" s="140"/>
      <c r="H1589" s="139"/>
      <c r="I1589" s="143"/>
      <c r="J1589" s="143"/>
      <c r="K1589" s="143"/>
      <c r="N1589" s="106"/>
      <c r="O1589" s="106"/>
      <c r="P1589" s="106"/>
      <c r="Q1589" s="106"/>
      <c r="R1589" s="106"/>
      <c r="S1589" s="106"/>
    </row>
    <row r="1590" spans="1:19" s="105" customFormat="1">
      <c r="A1590" s="106"/>
      <c r="B1590" s="175" t="s">
        <v>110</v>
      </c>
      <c r="C1590" s="139"/>
      <c r="D1590" s="140"/>
      <c r="E1590" s="139"/>
      <c r="F1590" s="139"/>
      <c r="G1590" s="140"/>
      <c r="H1590" s="139"/>
      <c r="I1590" s="143"/>
      <c r="J1590" s="143"/>
      <c r="K1590" s="143"/>
      <c r="N1590" s="106"/>
      <c r="O1590" s="106"/>
      <c r="P1590" s="106"/>
      <c r="Q1590" s="106"/>
      <c r="R1590" s="106"/>
      <c r="S1590" s="106"/>
    </row>
    <row r="1591" spans="1:19" s="105" customFormat="1">
      <c r="A1591" s="106"/>
      <c r="B1591" s="194" t="s">
        <v>17</v>
      </c>
      <c r="C1591" s="139"/>
      <c r="D1591" s="140"/>
      <c r="E1591" s="139"/>
      <c r="F1591" s="139"/>
      <c r="G1591" s="140"/>
      <c r="H1591" s="139"/>
      <c r="I1591" s="143"/>
      <c r="J1591" s="143"/>
      <c r="K1591" s="143"/>
      <c r="N1591" s="106"/>
      <c r="O1591" s="106"/>
      <c r="P1591" s="106"/>
      <c r="Q1591" s="106"/>
      <c r="R1591" s="106"/>
      <c r="S1591" s="106"/>
    </row>
    <row r="1592" spans="1:19" s="105" customFormat="1">
      <c r="A1592" s="106"/>
      <c r="B1592" s="194" t="s">
        <v>18</v>
      </c>
      <c r="C1592" s="139"/>
      <c r="D1592" s="140"/>
      <c r="E1592" s="139"/>
      <c r="F1592" s="139"/>
      <c r="G1592" s="140"/>
      <c r="H1592" s="139"/>
      <c r="I1592" s="139"/>
      <c r="J1592" s="139"/>
      <c r="K1592" s="143"/>
      <c r="N1592" s="106"/>
      <c r="O1592" s="106"/>
      <c r="P1592" s="106"/>
      <c r="Q1592" s="106"/>
      <c r="R1592" s="106"/>
      <c r="S1592" s="106"/>
    </row>
    <row r="1593" spans="1:19" s="105" customFormat="1">
      <c r="A1593" s="106"/>
      <c r="B1593" s="175" t="s">
        <v>22</v>
      </c>
      <c r="C1593" s="139"/>
      <c r="D1593" s="140"/>
      <c r="E1593" s="139"/>
      <c r="F1593" s="139"/>
      <c r="G1593" s="140"/>
      <c r="H1593" s="139"/>
      <c r="I1593" s="139"/>
      <c r="J1593" s="139"/>
      <c r="K1593" s="143"/>
      <c r="N1593" s="106"/>
      <c r="O1593" s="106"/>
      <c r="P1593" s="106"/>
      <c r="Q1593" s="106"/>
      <c r="R1593" s="106"/>
      <c r="S1593" s="106"/>
    </row>
    <row r="1594" spans="1:19" s="105" customFormat="1">
      <c r="A1594" s="106"/>
      <c r="B1594" s="175" t="s">
        <v>48</v>
      </c>
      <c r="C1594" s="139"/>
      <c r="D1594" s="140"/>
      <c r="E1594" s="139"/>
      <c r="F1594" s="139"/>
      <c r="G1594" s="140"/>
      <c r="H1594" s="139"/>
      <c r="I1594" s="139"/>
      <c r="J1594" s="139"/>
      <c r="K1594" s="143"/>
      <c r="N1594" s="106"/>
      <c r="O1594" s="106"/>
      <c r="P1594" s="106"/>
      <c r="Q1594" s="106"/>
      <c r="R1594" s="106"/>
      <c r="S1594" s="106"/>
    </row>
    <row r="1595" spans="1:19" s="105" customFormat="1">
      <c r="A1595" s="106"/>
      <c r="B1595" s="194" t="s">
        <v>23</v>
      </c>
      <c r="C1595" s="139"/>
      <c r="D1595" s="140"/>
      <c r="E1595" s="139"/>
      <c r="F1595" s="139"/>
      <c r="G1595" s="140"/>
      <c r="H1595" s="139"/>
      <c r="I1595" s="139"/>
      <c r="J1595" s="139"/>
      <c r="K1595" s="143"/>
      <c r="N1595" s="106"/>
      <c r="O1595" s="106"/>
      <c r="P1595" s="106"/>
      <c r="Q1595" s="106"/>
      <c r="R1595" s="106"/>
      <c r="S1595" s="106"/>
    </row>
    <row r="1596" spans="1:19" s="105" customFormat="1">
      <c r="A1596" s="106"/>
      <c r="B1596" s="175" t="s">
        <v>20</v>
      </c>
      <c r="C1596" s="139"/>
      <c r="D1596" s="140"/>
      <c r="E1596" s="139"/>
      <c r="F1596" s="139"/>
      <c r="G1596" s="140"/>
      <c r="H1596" s="139"/>
      <c r="I1596" s="139"/>
      <c r="J1596" s="139"/>
      <c r="K1596" s="143"/>
      <c r="N1596" s="106"/>
      <c r="O1596" s="106"/>
      <c r="P1596" s="106"/>
      <c r="Q1596" s="106"/>
      <c r="R1596" s="106"/>
      <c r="S1596" s="106"/>
    </row>
    <row r="1597" spans="1:19" s="105" customFormat="1">
      <c r="A1597" s="106"/>
      <c r="B1597" s="175" t="s">
        <v>48</v>
      </c>
      <c r="C1597" s="139"/>
      <c r="D1597" s="140"/>
      <c r="E1597" s="139"/>
      <c r="F1597" s="139"/>
      <c r="G1597" s="140"/>
      <c r="H1597" s="139"/>
      <c r="I1597" s="139"/>
      <c r="J1597" s="139"/>
      <c r="K1597" s="143"/>
      <c r="N1597" s="106"/>
      <c r="O1597" s="106"/>
      <c r="P1597" s="106"/>
      <c r="Q1597" s="106"/>
      <c r="R1597" s="106"/>
      <c r="S1597" s="106"/>
    </row>
    <row r="1598" spans="1:19" s="105" customFormat="1">
      <c r="A1598" s="106"/>
      <c r="B1598" s="194" t="s">
        <v>23</v>
      </c>
      <c r="C1598" s="139"/>
      <c r="D1598" s="140"/>
      <c r="E1598" s="139"/>
      <c r="F1598" s="139"/>
      <c r="G1598" s="140"/>
      <c r="H1598" s="139"/>
      <c r="I1598" s="139"/>
      <c r="J1598" s="139"/>
      <c r="K1598" s="143"/>
      <c r="N1598" s="106"/>
      <c r="O1598" s="106"/>
      <c r="P1598" s="106"/>
      <c r="Q1598" s="106"/>
      <c r="R1598" s="106"/>
      <c r="S1598" s="106"/>
    </row>
    <row r="1599" spans="1:19" s="105" customFormat="1">
      <c r="A1599" s="106"/>
      <c r="B1599" s="175" t="s">
        <v>49</v>
      </c>
      <c r="C1599" s="139"/>
      <c r="D1599" s="140"/>
      <c r="E1599" s="139">
        <f>+E1601</f>
        <v>0</v>
      </c>
      <c r="F1599" s="139"/>
      <c r="G1599" s="140"/>
      <c r="H1599" s="139">
        <f>+H1601</f>
        <v>0</v>
      </c>
      <c r="I1599" s="143"/>
      <c r="J1599" s="143"/>
      <c r="K1599" s="143"/>
      <c r="N1599" s="106"/>
      <c r="O1599" s="106"/>
      <c r="P1599" s="106"/>
      <c r="Q1599" s="106"/>
      <c r="R1599" s="106"/>
      <c r="S1599" s="106"/>
    </row>
    <row r="1600" spans="1:19" s="105" customFormat="1">
      <c r="A1600" s="106"/>
      <c r="B1600" s="175" t="s">
        <v>19</v>
      </c>
      <c r="C1600" s="139"/>
      <c r="D1600" s="140"/>
      <c r="E1600" s="139"/>
      <c r="F1600" s="139"/>
      <c r="G1600" s="140"/>
      <c r="H1600" s="139"/>
      <c r="I1600" s="139"/>
      <c r="J1600" s="139"/>
      <c r="K1600" s="143"/>
      <c r="N1600" s="106"/>
      <c r="O1600" s="106"/>
      <c r="P1600" s="106"/>
      <c r="Q1600" s="106"/>
      <c r="R1600" s="106"/>
      <c r="S1600" s="106"/>
    </row>
    <row r="1601" spans="1:19" s="105" customFormat="1">
      <c r="A1601" s="106"/>
      <c r="B1601" s="175" t="s">
        <v>50</v>
      </c>
      <c r="C1601" s="139"/>
      <c r="D1601" s="140"/>
      <c r="E1601" s="139"/>
      <c r="F1601" s="139"/>
      <c r="G1601" s="140"/>
      <c r="H1601" s="139"/>
      <c r="I1601" s="139"/>
      <c r="J1601" s="139"/>
      <c r="K1601" s="143"/>
      <c r="N1601" s="106"/>
      <c r="O1601" s="106"/>
      <c r="P1601" s="106"/>
      <c r="Q1601" s="106"/>
      <c r="R1601" s="106"/>
      <c r="S1601" s="106"/>
    </row>
    <row r="1602" spans="1:19" s="105" customFormat="1" ht="27.75" customHeight="1">
      <c r="A1602" s="106"/>
      <c r="B1602" s="194" t="s">
        <v>17</v>
      </c>
      <c r="C1602" s="139"/>
      <c r="D1602" s="140"/>
      <c r="E1602" s="139"/>
      <c r="F1602" s="139"/>
      <c r="G1602" s="140"/>
      <c r="H1602" s="139"/>
      <c r="I1602" s="139"/>
      <c r="J1602" s="139"/>
      <c r="K1602" s="143"/>
      <c r="N1602" s="106"/>
      <c r="O1602" s="106"/>
      <c r="P1602" s="106"/>
      <c r="Q1602" s="106"/>
      <c r="R1602" s="106"/>
      <c r="S1602" s="106"/>
    </row>
    <row r="1603" spans="1:19" s="105" customFormat="1" ht="27.75" customHeight="1">
      <c r="A1603" s="106"/>
      <c r="B1603" s="194" t="s">
        <v>18</v>
      </c>
      <c r="C1603" s="139"/>
      <c r="D1603" s="140"/>
      <c r="E1603" s="139"/>
      <c r="F1603" s="139"/>
      <c r="G1603" s="140"/>
      <c r="H1603" s="139"/>
      <c r="I1603" s="139"/>
      <c r="J1603" s="139"/>
      <c r="K1603" s="143"/>
      <c r="N1603" s="106"/>
      <c r="O1603" s="106"/>
      <c r="P1603" s="106"/>
      <c r="Q1603" s="106"/>
      <c r="R1603" s="106"/>
      <c r="S1603" s="106"/>
    </row>
    <row r="1604" spans="1:19" s="105" customFormat="1">
      <c r="A1604" s="106"/>
      <c r="B1604" s="175" t="s">
        <v>22</v>
      </c>
      <c r="C1604" s="139"/>
      <c r="D1604" s="140"/>
      <c r="E1604" s="139"/>
      <c r="F1604" s="139"/>
      <c r="G1604" s="140"/>
      <c r="H1604" s="139"/>
      <c r="I1604" s="139"/>
      <c r="J1604" s="139"/>
      <c r="K1604" s="143"/>
      <c r="N1604" s="106"/>
      <c r="O1604" s="106"/>
      <c r="P1604" s="106"/>
      <c r="Q1604" s="106"/>
      <c r="R1604" s="106"/>
      <c r="S1604" s="106"/>
    </row>
    <row r="1605" spans="1:19" s="105" customFormat="1">
      <c r="A1605" s="106"/>
      <c r="B1605" s="175" t="s">
        <v>51</v>
      </c>
      <c r="C1605" s="139"/>
      <c r="D1605" s="140"/>
      <c r="E1605" s="139"/>
      <c r="F1605" s="139"/>
      <c r="G1605" s="140"/>
      <c r="H1605" s="139"/>
      <c r="I1605" s="139"/>
      <c r="J1605" s="139"/>
      <c r="K1605" s="143"/>
      <c r="N1605" s="106"/>
      <c r="O1605" s="106"/>
      <c r="P1605" s="106"/>
      <c r="Q1605" s="106"/>
      <c r="R1605" s="106"/>
      <c r="S1605" s="106"/>
    </row>
    <row r="1606" spans="1:19" s="105" customFormat="1">
      <c r="A1606" s="106"/>
      <c r="B1606" s="194" t="s">
        <v>23</v>
      </c>
      <c r="C1606" s="139"/>
      <c r="D1606" s="140"/>
      <c r="E1606" s="139"/>
      <c r="F1606" s="139"/>
      <c r="G1606" s="140"/>
      <c r="H1606" s="139"/>
      <c r="I1606" s="139"/>
      <c r="J1606" s="139"/>
      <c r="K1606" s="143"/>
      <c r="N1606" s="106"/>
      <c r="O1606" s="106"/>
      <c r="P1606" s="106"/>
      <c r="Q1606" s="106"/>
      <c r="R1606" s="106"/>
      <c r="S1606" s="106"/>
    </row>
    <row r="1607" spans="1:19" s="105" customFormat="1">
      <c r="A1607" s="106"/>
      <c r="B1607" s="175" t="s">
        <v>20</v>
      </c>
      <c r="C1607" s="139"/>
      <c r="D1607" s="140"/>
      <c r="E1607" s="139"/>
      <c r="F1607" s="139"/>
      <c r="G1607" s="140"/>
      <c r="H1607" s="139"/>
      <c r="I1607" s="139"/>
      <c r="J1607" s="139"/>
      <c r="K1607" s="143"/>
      <c r="N1607" s="106"/>
      <c r="O1607" s="106"/>
      <c r="P1607" s="106"/>
      <c r="Q1607" s="106"/>
      <c r="R1607" s="106"/>
      <c r="S1607" s="106"/>
    </row>
    <row r="1608" spans="1:19" s="105" customFormat="1">
      <c r="A1608" s="106"/>
      <c r="B1608" s="175" t="s">
        <v>51</v>
      </c>
      <c r="C1608" s="139"/>
      <c r="D1608" s="140"/>
      <c r="E1608" s="139"/>
      <c r="F1608" s="139"/>
      <c r="G1608" s="140"/>
      <c r="H1608" s="139"/>
      <c r="I1608" s="139"/>
      <c r="J1608" s="139"/>
      <c r="K1608" s="143"/>
      <c r="N1608" s="106"/>
      <c r="O1608" s="106"/>
      <c r="P1608" s="106"/>
      <c r="Q1608" s="106"/>
      <c r="R1608" s="106"/>
      <c r="S1608" s="106"/>
    </row>
    <row r="1609" spans="1:19" s="105" customFormat="1">
      <c r="A1609" s="106"/>
      <c r="B1609" s="194" t="s">
        <v>23</v>
      </c>
      <c r="C1609" s="139"/>
      <c r="D1609" s="140"/>
      <c r="E1609" s="139"/>
      <c r="F1609" s="139"/>
      <c r="G1609" s="140"/>
      <c r="H1609" s="139"/>
      <c r="I1609" s="139"/>
      <c r="J1609" s="139"/>
      <c r="K1609" s="143"/>
      <c r="N1609" s="106"/>
      <c r="O1609" s="106"/>
      <c r="P1609" s="106"/>
      <c r="Q1609" s="106"/>
      <c r="R1609" s="106"/>
      <c r="S1609" s="106"/>
    </row>
    <row r="1610" spans="1:19" s="105" customFormat="1">
      <c r="A1610" s="106"/>
      <c r="B1610" s="175" t="s">
        <v>53</v>
      </c>
      <c r="C1610" s="139"/>
      <c r="D1610" s="140"/>
      <c r="E1610" s="139">
        <f>+E1612</f>
        <v>0</v>
      </c>
      <c r="F1610" s="139"/>
      <c r="G1610" s="140"/>
      <c r="H1610" s="139">
        <f>+H1612</f>
        <v>0</v>
      </c>
      <c r="I1610" s="143"/>
      <c r="J1610" s="143"/>
      <c r="K1610" s="143"/>
      <c r="N1610" s="106"/>
      <c r="O1610" s="106"/>
      <c r="P1610" s="106"/>
      <c r="Q1610" s="106"/>
      <c r="R1610" s="106"/>
      <c r="S1610" s="106"/>
    </row>
    <row r="1611" spans="1:19" s="105" customFormat="1">
      <c r="A1611" s="106"/>
      <c r="B1611" s="175" t="s">
        <v>52</v>
      </c>
      <c r="C1611" s="139"/>
      <c r="D1611" s="140"/>
      <c r="E1611" s="139"/>
      <c r="F1611" s="139"/>
      <c r="G1611" s="140"/>
      <c r="H1611" s="139"/>
      <c r="I1611" s="139"/>
      <c r="J1611" s="139"/>
      <c r="K1611" s="143"/>
      <c r="N1611" s="106"/>
      <c r="O1611" s="106"/>
      <c r="P1611" s="106"/>
      <c r="Q1611" s="106"/>
      <c r="R1611" s="106"/>
      <c r="S1611" s="106"/>
    </row>
    <row r="1612" spans="1:19" s="105" customFormat="1">
      <c r="A1612" s="106"/>
      <c r="B1612" s="175"/>
      <c r="C1612" s="139"/>
      <c r="D1612" s="140"/>
      <c r="E1612" s="139"/>
      <c r="F1612" s="139"/>
      <c r="G1612" s="140"/>
      <c r="H1612" s="139"/>
      <c r="I1612" s="139"/>
      <c r="J1612" s="139"/>
      <c r="K1612" s="175"/>
      <c r="N1612" s="106"/>
      <c r="O1612" s="106"/>
      <c r="P1612" s="106"/>
      <c r="Q1612" s="106"/>
      <c r="R1612" s="106"/>
      <c r="S1612" s="106"/>
    </row>
    <row r="1613" spans="1:19" s="105" customFormat="1">
      <c r="A1613" s="106"/>
      <c r="B1613" s="175"/>
      <c r="C1613" s="139"/>
      <c r="D1613" s="140"/>
      <c r="E1613" s="139"/>
      <c r="F1613" s="139"/>
      <c r="G1613" s="140"/>
      <c r="H1613" s="139"/>
      <c r="I1613" s="139"/>
      <c r="J1613" s="139"/>
      <c r="K1613" s="143"/>
      <c r="N1613" s="106"/>
      <c r="O1613" s="106"/>
      <c r="P1613" s="106"/>
      <c r="Q1613" s="106"/>
      <c r="R1613" s="106"/>
      <c r="S1613" s="106"/>
    </row>
    <row r="1614" spans="1:19" s="105" customFormat="1">
      <c r="A1614" s="106"/>
      <c r="B1614" s="175" t="s">
        <v>56</v>
      </c>
      <c r="C1614" s="139"/>
      <c r="D1614" s="140"/>
      <c r="E1614" s="139">
        <f>SUM(E1615:E1615)</f>
        <v>0</v>
      </c>
      <c r="F1614" s="139"/>
      <c r="G1614" s="140"/>
      <c r="H1614" s="139">
        <f>SUM(H1615:H1615)</f>
        <v>0</v>
      </c>
      <c r="I1614" s="143"/>
      <c r="J1614" s="143"/>
      <c r="K1614" s="143"/>
      <c r="N1614" s="106"/>
      <c r="O1614" s="106"/>
      <c r="P1614" s="106"/>
      <c r="Q1614" s="106"/>
      <c r="R1614" s="106"/>
      <c r="S1614" s="106"/>
    </row>
    <row r="1615" spans="1:19" s="105" customFormat="1">
      <c r="A1615" s="106"/>
      <c r="B1615" s="175"/>
      <c r="C1615" s="139"/>
      <c r="D1615" s="140"/>
      <c r="E1615" s="139"/>
      <c r="F1615" s="139"/>
      <c r="G1615" s="140"/>
      <c r="H1615" s="139"/>
      <c r="I1615" s="141"/>
      <c r="J1615" s="142"/>
      <c r="K1615" s="143"/>
      <c r="N1615" s="106"/>
      <c r="O1615" s="106"/>
      <c r="P1615" s="106"/>
      <c r="Q1615" s="106"/>
      <c r="R1615" s="106"/>
      <c r="S1615" s="106"/>
    </row>
    <row r="1616" spans="1:19" s="105" customFormat="1">
      <c r="A1616" s="106"/>
      <c r="B1616" s="313"/>
      <c r="C1616" s="262"/>
      <c r="D1616" s="188"/>
      <c r="E1616" s="262"/>
      <c r="F1616" s="262"/>
      <c r="G1616" s="188"/>
      <c r="H1616" s="262"/>
      <c r="I1616" s="190"/>
      <c r="J1616" s="191"/>
      <c r="K1616" s="271"/>
      <c r="N1616" s="106"/>
      <c r="O1616" s="106"/>
      <c r="P1616" s="106"/>
      <c r="Q1616" s="106"/>
      <c r="R1616" s="106"/>
      <c r="S1616" s="106"/>
    </row>
    <row r="1617" spans="1:19" s="105" customFormat="1">
      <c r="A1617" s="106"/>
      <c r="B1617" s="175"/>
      <c r="C1617" s="139"/>
      <c r="D1617" s="140"/>
      <c r="E1617" s="139"/>
      <c r="F1617" s="139"/>
      <c r="G1617" s="140"/>
      <c r="H1617" s="139"/>
      <c r="I1617" s="141"/>
      <c r="J1617" s="142"/>
      <c r="K1617" s="143"/>
      <c r="N1617" s="106"/>
      <c r="O1617" s="106"/>
      <c r="P1617" s="106"/>
      <c r="Q1617" s="106"/>
      <c r="R1617" s="106"/>
      <c r="S1617" s="106"/>
    </row>
    <row r="1618" spans="1:19" s="105" customFormat="1">
      <c r="A1618" s="106"/>
      <c r="B1618" s="313"/>
      <c r="C1618" s="262"/>
      <c r="D1618" s="188"/>
      <c r="E1618" s="262"/>
      <c r="F1618" s="262"/>
      <c r="G1618" s="188"/>
      <c r="H1618" s="262"/>
      <c r="I1618" s="190"/>
      <c r="J1618" s="191"/>
      <c r="K1618" s="271"/>
      <c r="N1618" s="106"/>
      <c r="O1618" s="106"/>
      <c r="P1618" s="106"/>
      <c r="Q1618" s="106"/>
      <c r="R1618" s="106"/>
      <c r="S1618" s="106"/>
    </row>
  </sheetData>
  <mergeCells count="6">
    <mergeCell ref="M842:O842"/>
    <mergeCell ref="B2:K2"/>
    <mergeCell ref="B6:B7"/>
    <mergeCell ref="C6:E6"/>
    <mergeCell ref="F6:H6"/>
    <mergeCell ref="K6:K7"/>
  </mergeCells>
  <printOptions horizontalCentered="1"/>
  <pageMargins left="0" right="0" top="0.31496062992125984" bottom="0.11811023622047245" header="0.19685039370078741" footer="0.23622047244094491"/>
  <pageSetup paperSize="9" scale="95" fitToHeight="0" orientation="landscape" useFirstPageNumber="1" r:id="rId1"/>
  <headerFooter differentFirst="1">
    <oddHeader>&amp;C&amp;"TH SarabunPSK,ธรรมดา"&amp;16&amp;P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B2:M55"/>
  <sheetViews>
    <sheetView zoomScale="90" zoomScaleNormal="90" zoomScalePageLayoutView="110" workbookViewId="0">
      <pane xSplit="2" ySplit="8" topLeftCell="C54" activePane="bottomRight" state="frozen"/>
      <selection pane="topRight" activeCell="C1" sqref="C1"/>
      <selection pane="bottomLeft" activeCell="A9" sqref="A9"/>
      <selection pane="bottomRight" activeCell="B57" sqref="B57"/>
    </sheetView>
  </sheetViews>
  <sheetFormatPr defaultRowHeight="18.75"/>
  <cols>
    <col min="1" max="1" width="1.625" style="1" customWidth="1"/>
    <col min="2" max="2" width="36.25" style="4" customWidth="1"/>
    <col min="3" max="3" width="9.375" style="11" customWidth="1"/>
    <col min="4" max="4" width="9.125" style="18" customWidth="1"/>
    <col min="5" max="5" width="13.25" style="11" customWidth="1"/>
    <col min="6" max="6" width="10.625" style="11" customWidth="1"/>
    <col min="7" max="7" width="9.25" style="18" customWidth="1"/>
    <col min="8" max="8" width="13.25" style="11" customWidth="1"/>
    <col min="9" max="9" width="9.375" style="96" customWidth="1"/>
    <col min="10" max="10" width="10" style="101" customWidth="1"/>
    <col min="11" max="11" width="38.25" style="1" customWidth="1"/>
    <col min="12" max="12" width="10.375" style="62" customWidth="1"/>
    <col min="13" max="13" width="9.625" style="62" bestFit="1" customWidth="1"/>
    <col min="14" max="14" width="10.875" style="1" bestFit="1" customWidth="1"/>
    <col min="15" max="252" width="9.125" style="1"/>
    <col min="253" max="253" width="1.625" style="1" customWidth="1"/>
    <col min="254" max="254" width="35" style="1" customWidth="1"/>
    <col min="255" max="258" width="13.25" style="1" customWidth="1"/>
    <col min="259" max="259" width="38.875" style="1" customWidth="1"/>
    <col min="260" max="260" width="16.75" style="1" customWidth="1"/>
    <col min="261" max="508" width="9.125" style="1"/>
    <col min="509" max="509" width="1.625" style="1" customWidth="1"/>
    <col min="510" max="510" width="35" style="1" customWidth="1"/>
    <col min="511" max="514" width="13.25" style="1" customWidth="1"/>
    <col min="515" max="515" width="38.875" style="1" customWidth="1"/>
    <col min="516" max="516" width="16.75" style="1" customWidth="1"/>
    <col min="517" max="764" width="9.125" style="1"/>
    <col min="765" max="765" width="1.625" style="1" customWidth="1"/>
    <col min="766" max="766" width="35" style="1" customWidth="1"/>
    <col min="767" max="770" width="13.25" style="1" customWidth="1"/>
    <col min="771" max="771" width="38.875" style="1" customWidth="1"/>
    <col min="772" max="772" width="16.75" style="1" customWidth="1"/>
    <col min="773" max="1020" width="9.125" style="1"/>
    <col min="1021" max="1021" width="1.625" style="1" customWidth="1"/>
    <col min="1022" max="1022" width="35" style="1" customWidth="1"/>
    <col min="1023" max="1026" width="13.25" style="1" customWidth="1"/>
    <col min="1027" max="1027" width="38.875" style="1" customWidth="1"/>
    <col min="1028" max="1028" width="16.75" style="1" customWidth="1"/>
    <col min="1029" max="1276" width="9.125" style="1"/>
    <col min="1277" max="1277" width="1.625" style="1" customWidth="1"/>
    <col min="1278" max="1278" width="35" style="1" customWidth="1"/>
    <col min="1279" max="1282" width="13.25" style="1" customWidth="1"/>
    <col min="1283" max="1283" width="38.875" style="1" customWidth="1"/>
    <col min="1284" max="1284" width="16.75" style="1" customWidth="1"/>
    <col min="1285" max="1532" width="9.125" style="1"/>
    <col min="1533" max="1533" width="1.625" style="1" customWidth="1"/>
    <col min="1534" max="1534" width="35" style="1" customWidth="1"/>
    <col min="1535" max="1538" width="13.25" style="1" customWidth="1"/>
    <col min="1539" max="1539" width="38.875" style="1" customWidth="1"/>
    <col min="1540" max="1540" width="16.75" style="1" customWidth="1"/>
    <col min="1541" max="1788" width="9.125" style="1"/>
    <col min="1789" max="1789" width="1.625" style="1" customWidth="1"/>
    <col min="1790" max="1790" width="35" style="1" customWidth="1"/>
    <col min="1791" max="1794" width="13.25" style="1" customWidth="1"/>
    <col min="1795" max="1795" width="38.875" style="1" customWidth="1"/>
    <col min="1796" max="1796" width="16.75" style="1" customWidth="1"/>
    <col min="1797" max="2044" width="9.125" style="1"/>
    <col min="2045" max="2045" width="1.625" style="1" customWidth="1"/>
    <col min="2046" max="2046" width="35" style="1" customWidth="1"/>
    <col min="2047" max="2050" width="13.25" style="1" customWidth="1"/>
    <col min="2051" max="2051" width="38.875" style="1" customWidth="1"/>
    <col min="2052" max="2052" width="16.75" style="1" customWidth="1"/>
    <col min="2053" max="2300" width="9.125" style="1"/>
    <col min="2301" max="2301" width="1.625" style="1" customWidth="1"/>
    <col min="2302" max="2302" width="35" style="1" customWidth="1"/>
    <col min="2303" max="2306" width="13.25" style="1" customWidth="1"/>
    <col min="2307" max="2307" width="38.875" style="1" customWidth="1"/>
    <col min="2308" max="2308" width="16.75" style="1" customWidth="1"/>
    <col min="2309" max="2556" width="9.125" style="1"/>
    <col min="2557" max="2557" width="1.625" style="1" customWidth="1"/>
    <col min="2558" max="2558" width="35" style="1" customWidth="1"/>
    <col min="2559" max="2562" width="13.25" style="1" customWidth="1"/>
    <col min="2563" max="2563" width="38.875" style="1" customWidth="1"/>
    <col min="2564" max="2564" width="16.75" style="1" customWidth="1"/>
    <col min="2565" max="2812" width="9.125" style="1"/>
    <col min="2813" max="2813" width="1.625" style="1" customWidth="1"/>
    <col min="2814" max="2814" width="35" style="1" customWidth="1"/>
    <col min="2815" max="2818" width="13.25" style="1" customWidth="1"/>
    <col min="2819" max="2819" width="38.875" style="1" customWidth="1"/>
    <col min="2820" max="2820" width="16.75" style="1" customWidth="1"/>
    <col min="2821" max="3068" width="9.125" style="1"/>
    <col min="3069" max="3069" width="1.625" style="1" customWidth="1"/>
    <col min="3070" max="3070" width="35" style="1" customWidth="1"/>
    <col min="3071" max="3074" width="13.25" style="1" customWidth="1"/>
    <col min="3075" max="3075" width="38.875" style="1" customWidth="1"/>
    <col min="3076" max="3076" width="16.75" style="1" customWidth="1"/>
    <col min="3077" max="3324" width="9.125" style="1"/>
    <col min="3325" max="3325" width="1.625" style="1" customWidth="1"/>
    <col min="3326" max="3326" width="35" style="1" customWidth="1"/>
    <col min="3327" max="3330" width="13.25" style="1" customWidth="1"/>
    <col min="3331" max="3331" width="38.875" style="1" customWidth="1"/>
    <col min="3332" max="3332" width="16.75" style="1" customWidth="1"/>
    <col min="3333" max="3580" width="9.125" style="1"/>
    <col min="3581" max="3581" width="1.625" style="1" customWidth="1"/>
    <col min="3582" max="3582" width="35" style="1" customWidth="1"/>
    <col min="3583" max="3586" width="13.25" style="1" customWidth="1"/>
    <col min="3587" max="3587" width="38.875" style="1" customWidth="1"/>
    <col min="3588" max="3588" width="16.75" style="1" customWidth="1"/>
    <col min="3589" max="3836" width="9.125" style="1"/>
    <col min="3837" max="3837" width="1.625" style="1" customWidth="1"/>
    <col min="3838" max="3838" width="35" style="1" customWidth="1"/>
    <col min="3839" max="3842" width="13.25" style="1" customWidth="1"/>
    <col min="3843" max="3843" width="38.875" style="1" customWidth="1"/>
    <col min="3844" max="3844" width="16.75" style="1" customWidth="1"/>
    <col min="3845" max="4092" width="9.125" style="1"/>
    <col min="4093" max="4093" width="1.625" style="1" customWidth="1"/>
    <col min="4094" max="4094" width="35" style="1" customWidth="1"/>
    <col min="4095" max="4098" width="13.25" style="1" customWidth="1"/>
    <col min="4099" max="4099" width="38.875" style="1" customWidth="1"/>
    <col min="4100" max="4100" width="16.75" style="1" customWidth="1"/>
    <col min="4101" max="4348" width="9.125" style="1"/>
    <col min="4349" max="4349" width="1.625" style="1" customWidth="1"/>
    <col min="4350" max="4350" width="35" style="1" customWidth="1"/>
    <col min="4351" max="4354" width="13.25" style="1" customWidth="1"/>
    <col min="4355" max="4355" width="38.875" style="1" customWidth="1"/>
    <col min="4356" max="4356" width="16.75" style="1" customWidth="1"/>
    <col min="4357" max="4604" width="9.125" style="1"/>
    <col min="4605" max="4605" width="1.625" style="1" customWidth="1"/>
    <col min="4606" max="4606" width="35" style="1" customWidth="1"/>
    <col min="4607" max="4610" width="13.25" style="1" customWidth="1"/>
    <col min="4611" max="4611" width="38.875" style="1" customWidth="1"/>
    <col min="4612" max="4612" width="16.75" style="1" customWidth="1"/>
    <col min="4613" max="4860" width="9.125" style="1"/>
    <col min="4861" max="4861" width="1.625" style="1" customWidth="1"/>
    <col min="4862" max="4862" width="35" style="1" customWidth="1"/>
    <col min="4863" max="4866" width="13.25" style="1" customWidth="1"/>
    <col min="4867" max="4867" width="38.875" style="1" customWidth="1"/>
    <col min="4868" max="4868" width="16.75" style="1" customWidth="1"/>
    <col min="4869" max="5116" width="9.125" style="1"/>
    <col min="5117" max="5117" width="1.625" style="1" customWidth="1"/>
    <col min="5118" max="5118" width="35" style="1" customWidth="1"/>
    <col min="5119" max="5122" width="13.25" style="1" customWidth="1"/>
    <col min="5123" max="5123" width="38.875" style="1" customWidth="1"/>
    <col min="5124" max="5124" width="16.75" style="1" customWidth="1"/>
    <col min="5125" max="5372" width="9.125" style="1"/>
    <col min="5373" max="5373" width="1.625" style="1" customWidth="1"/>
    <col min="5374" max="5374" width="35" style="1" customWidth="1"/>
    <col min="5375" max="5378" width="13.25" style="1" customWidth="1"/>
    <col min="5379" max="5379" width="38.875" style="1" customWidth="1"/>
    <col min="5380" max="5380" width="16.75" style="1" customWidth="1"/>
    <col min="5381" max="5628" width="9.125" style="1"/>
    <col min="5629" max="5629" width="1.625" style="1" customWidth="1"/>
    <col min="5630" max="5630" width="35" style="1" customWidth="1"/>
    <col min="5631" max="5634" width="13.25" style="1" customWidth="1"/>
    <col min="5635" max="5635" width="38.875" style="1" customWidth="1"/>
    <col min="5636" max="5636" width="16.75" style="1" customWidth="1"/>
    <col min="5637" max="5884" width="9.125" style="1"/>
    <col min="5885" max="5885" width="1.625" style="1" customWidth="1"/>
    <col min="5886" max="5886" width="35" style="1" customWidth="1"/>
    <col min="5887" max="5890" width="13.25" style="1" customWidth="1"/>
    <col min="5891" max="5891" width="38.875" style="1" customWidth="1"/>
    <col min="5892" max="5892" width="16.75" style="1" customWidth="1"/>
    <col min="5893" max="6140" width="9.125" style="1"/>
    <col min="6141" max="6141" width="1.625" style="1" customWidth="1"/>
    <col min="6142" max="6142" width="35" style="1" customWidth="1"/>
    <col min="6143" max="6146" width="13.25" style="1" customWidth="1"/>
    <col min="6147" max="6147" width="38.875" style="1" customWidth="1"/>
    <col min="6148" max="6148" width="16.75" style="1" customWidth="1"/>
    <col min="6149" max="6396" width="9.125" style="1"/>
    <col min="6397" max="6397" width="1.625" style="1" customWidth="1"/>
    <col min="6398" max="6398" width="35" style="1" customWidth="1"/>
    <col min="6399" max="6402" width="13.25" style="1" customWidth="1"/>
    <col min="6403" max="6403" width="38.875" style="1" customWidth="1"/>
    <col min="6404" max="6404" width="16.75" style="1" customWidth="1"/>
    <col min="6405" max="6652" width="9.125" style="1"/>
    <col min="6653" max="6653" width="1.625" style="1" customWidth="1"/>
    <col min="6654" max="6654" width="35" style="1" customWidth="1"/>
    <col min="6655" max="6658" width="13.25" style="1" customWidth="1"/>
    <col min="6659" max="6659" width="38.875" style="1" customWidth="1"/>
    <col min="6660" max="6660" width="16.75" style="1" customWidth="1"/>
    <col min="6661" max="6908" width="9.125" style="1"/>
    <col min="6909" max="6909" width="1.625" style="1" customWidth="1"/>
    <col min="6910" max="6910" width="35" style="1" customWidth="1"/>
    <col min="6911" max="6914" width="13.25" style="1" customWidth="1"/>
    <col min="6915" max="6915" width="38.875" style="1" customWidth="1"/>
    <col min="6916" max="6916" width="16.75" style="1" customWidth="1"/>
    <col min="6917" max="7164" width="9.125" style="1"/>
    <col min="7165" max="7165" width="1.625" style="1" customWidth="1"/>
    <col min="7166" max="7166" width="35" style="1" customWidth="1"/>
    <col min="7167" max="7170" width="13.25" style="1" customWidth="1"/>
    <col min="7171" max="7171" width="38.875" style="1" customWidth="1"/>
    <col min="7172" max="7172" width="16.75" style="1" customWidth="1"/>
    <col min="7173" max="7420" width="9.125" style="1"/>
    <col min="7421" max="7421" width="1.625" style="1" customWidth="1"/>
    <col min="7422" max="7422" width="35" style="1" customWidth="1"/>
    <col min="7423" max="7426" width="13.25" style="1" customWidth="1"/>
    <col min="7427" max="7427" width="38.875" style="1" customWidth="1"/>
    <col min="7428" max="7428" width="16.75" style="1" customWidth="1"/>
    <col min="7429" max="7676" width="9.125" style="1"/>
    <col min="7677" max="7677" width="1.625" style="1" customWidth="1"/>
    <col min="7678" max="7678" width="35" style="1" customWidth="1"/>
    <col min="7679" max="7682" width="13.25" style="1" customWidth="1"/>
    <col min="7683" max="7683" width="38.875" style="1" customWidth="1"/>
    <col min="7684" max="7684" width="16.75" style="1" customWidth="1"/>
    <col min="7685" max="7932" width="9.125" style="1"/>
    <col min="7933" max="7933" width="1.625" style="1" customWidth="1"/>
    <col min="7934" max="7934" width="35" style="1" customWidth="1"/>
    <col min="7935" max="7938" width="13.25" style="1" customWidth="1"/>
    <col min="7939" max="7939" width="38.875" style="1" customWidth="1"/>
    <col min="7940" max="7940" width="16.75" style="1" customWidth="1"/>
    <col min="7941" max="8188" width="9.125" style="1"/>
    <col min="8189" max="8189" width="1.625" style="1" customWidth="1"/>
    <col min="8190" max="8190" width="35" style="1" customWidth="1"/>
    <col min="8191" max="8194" width="13.25" style="1" customWidth="1"/>
    <col min="8195" max="8195" width="38.875" style="1" customWidth="1"/>
    <col min="8196" max="8196" width="16.75" style="1" customWidth="1"/>
    <col min="8197" max="8444" width="9.125" style="1"/>
    <col min="8445" max="8445" width="1.625" style="1" customWidth="1"/>
    <col min="8446" max="8446" width="35" style="1" customWidth="1"/>
    <col min="8447" max="8450" width="13.25" style="1" customWidth="1"/>
    <col min="8451" max="8451" width="38.875" style="1" customWidth="1"/>
    <col min="8452" max="8452" width="16.75" style="1" customWidth="1"/>
    <col min="8453" max="8700" width="9.125" style="1"/>
    <col min="8701" max="8701" width="1.625" style="1" customWidth="1"/>
    <col min="8702" max="8702" width="35" style="1" customWidth="1"/>
    <col min="8703" max="8706" width="13.25" style="1" customWidth="1"/>
    <col min="8707" max="8707" width="38.875" style="1" customWidth="1"/>
    <col min="8708" max="8708" width="16.75" style="1" customWidth="1"/>
    <col min="8709" max="8956" width="9.125" style="1"/>
    <col min="8957" max="8957" width="1.625" style="1" customWidth="1"/>
    <col min="8958" max="8958" width="35" style="1" customWidth="1"/>
    <col min="8959" max="8962" width="13.25" style="1" customWidth="1"/>
    <col min="8963" max="8963" width="38.875" style="1" customWidth="1"/>
    <col min="8964" max="8964" width="16.75" style="1" customWidth="1"/>
    <col min="8965" max="9212" width="9.125" style="1"/>
    <col min="9213" max="9213" width="1.625" style="1" customWidth="1"/>
    <col min="9214" max="9214" width="35" style="1" customWidth="1"/>
    <col min="9215" max="9218" width="13.25" style="1" customWidth="1"/>
    <col min="9219" max="9219" width="38.875" style="1" customWidth="1"/>
    <col min="9220" max="9220" width="16.75" style="1" customWidth="1"/>
    <col min="9221" max="9468" width="9.125" style="1"/>
    <col min="9469" max="9469" width="1.625" style="1" customWidth="1"/>
    <col min="9470" max="9470" width="35" style="1" customWidth="1"/>
    <col min="9471" max="9474" width="13.25" style="1" customWidth="1"/>
    <col min="9475" max="9475" width="38.875" style="1" customWidth="1"/>
    <col min="9476" max="9476" width="16.75" style="1" customWidth="1"/>
    <col min="9477" max="9724" width="9.125" style="1"/>
    <col min="9725" max="9725" width="1.625" style="1" customWidth="1"/>
    <col min="9726" max="9726" width="35" style="1" customWidth="1"/>
    <col min="9727" max="9730" width="13.25" style="1" customWidth="1"/>
    <col min="9731" max="9731" width="38.875" style="1" customWidth="1"/>
    <col min="9732" max="9732" width="16.75" style="1" customWidth="1"/>
    <col min="9733" max="9980" width="9.125" style="1"/>
    <col min="9981" max="9981" width="1.625" style="1" customWidth="1"/>
    <col min="9982" max="9982" width="35" style="1" customWidth="1"/>
    <col min="9983" max="9986" width="13.25" style="1" customWidth="1"/>
    <col min="9987" max="9987" width="38.875" style="1" customWidth="1"/>
    <col min="9988" max="9988" width="16.75" style="1" customWidth="1"/>
    <col min="9989" max="10236" width="9.125" style="1"/>
    <col min="10237" max="10237" width="1.625" style="1" customWidth="1"/>
    <col min="10238" max="10238" width="35" style="1" customWidth="1"/>
    <col min="10239" max="10242" width="13.25" style="1" customWidth="1"/>
    <col min="10243" max="10243" width="38.875" style="1" customWidth="1"/>
    <col min="10244" max="10244" width="16.75" style="1" customWidth="1"/>
    <col min="10245" max="10492" width="9.125" style="1"/>
    <col min="10493" max="10493" width="1.625" style="1" customWidth="1"/>
    <col min="10494" max="10494" width="35" style="1" customWidth="1"/>
    <col min="10495" max="10498" width="13.25" style="1" customWidth="1"/>
    <col min="10499" max="10499" width="38.875" style="1" customWidth="1"/>
    <col min="10500" max="10500" width="16.75" style="1" customWidth="1"/>
    <col min="10501" max="10748" width="9.125" style="1"/>
    <col min="10749" max="10749" width="1.625" style="1" customWidth="1"/>
    <col min="10750" max="10750" width="35" style="1" customWidth="1"/>
    <col min="10751" max="10754" width="13.25" style="1" customWidth="1"/>
    <col min="10755" max="10755" width="38.875" style="1" customWidth="1"/>
    <col min="10756" max="10756" width="16.75" style="1" customWidth="1"/>
    <col min="10757" max="11004" width="9.125" style="1"/>
    <col min="11005" max="11005" width="1.625" style="1" customWidth="1"/>
    <col min="11006" max="11006" width="35" style="1" customWidth="1"/>
    <col min="11007" max="11010" width="13.25" style="1" customWidth="1"/>
    <col min="11011" max="11011" width="38.875" style="1" customWidth="1"/>
    <col min="11012" max="11012" width="16.75" style="1" customWidth="1"/>
    <col min="11013" max="11260" width="9.125" style="1"/>
    <col min="11261" max="11261" width="1.625" style="1" customWidth="1"/>
    <col min="11262" max="11262" width="35" style="1" customWidth="1"/>
    <col min="11263" max="11266" width="13.25" style="1" customWidth="1"/>
    <col min="11267" max="11267" width="38.875" style="1" customWidth="1"/>
    <col min="11268" max="11268" width="16.75" style="1" customWidth="1"/>
    <col min="11269" max="11516" width="9.125" style="1"/>
    <col min="11517" max="11517" width="1.625" style="1" customWidth="1"/>
    <col min="11518" max="11518" width="35" style="1" customWidth="1"/>
    <col min="11519" max="11522" width="13.25" style="1" customWidth="1"/>
    <col min="11523" max="11523" width="38.875" style="1" customWidth="1"/>
    <col min="11524" max="11524" width="16.75" style="1" customWidth="1"/>
    <col min="11525" max="11772" width="9.125" style="1"/>
    <col min="11773" max="11773" width="1.625" style="1" customWidth="1"/>
    <col min="11774" max="11774" width="35" style="1" customWidth="1"/>
    <col min="11775" max="11778" width="13.25" style="1" customWidth="1"/>
    <col min="11779" max="11779" width="38.875" style="1" customWidth="1"/>
    <col min="11780" max="11780" width="16.75" style="1" customWidth="1"/>
    <col min="11781" max="12028" width="9.125" style="1"/>
    <col min="12029" max="12029" width="1.625" style="1" customWidth="1"/>
    <col min="12030" max="12030" width="35" style="1" customWidth="1"/>
    <col min="12031" max="12034" width="13.25" style="1" customWidth="1"/>
    <col min="12035" max="12035" width="38.875" style="1" customWidth="1"/>
    <col min="12036" max="12036" width="16.75" style="1" customWidth="1"/>
    <col min="12037" max="12284" width="9.125" style="1"/>
    <col min="12285" max="12285" width="1.625" style="1" customWidth="1"/>
    <col min="12286" max="12286" width="35" style="1" customWidth="1"/>
    <col min="12287" max="12290" width="13.25" style="1" customWidth="1"/>
    <col min="12291" max="12291" width="38.875" style="1" customWidth="1"/>
    <col min="12292" max="12292" width="16.75" style="1" customWidth="1"/>
    <col min="12293" max="12540" width="9.125" style="1"/>
    <col min="12541" max="12541" width="1.625" style="1" customWidth="1"/>
    <col min="12542" max="12542" width="35" style="1" customWidth="1"/>
    <col min="12543" max="12546" width="13.25" style="1" customWidth="1"/>
    <col min="12547" max="12547" width="38.875" style="1" customWidth="1"/>
    <col min="12548" max="12548" width="16.75" style="1" customWidth="1"/>
    <col min="12549" max="12796" width="9.125" style="1"/>
    <col min="12797" max="12797" width="1.625" style="1" customWidth="1"/>
    <col min="12798" max="12798" width="35" style="1" customWidth="1"/>
    <col min="12799" max="12802" width="13.25" style="1" customWidth="1"/>
    <col min="12803" max="12803" width="38.875" style="1" customWidth="1"/>
    <col min="12804" max="12804" width="16.75" style="1" customWidth="1"/>
    <col min="12805" max="13052" width="9.125" style="1"/>
    <col min="13053" max="13053" width="1.625" style="1" customWidth="1"/>
    <col min="13054" max="13054" width="35" style="1" customWidth="1"/>
    <col min="13055" max="13058" width="13.25" style="1" customWidth="1"/>
    <col min="13059" max="13059" width="38.875" style="1" customWidth="1"/>
    <col min="13060" max="13060" width="16.75" style="1" customWidth="1"/>
    <col min="13061" max="13308" width="9.125" style="1"/>
    <col min="13309" max="13309" width="1.625" style="1" customWidth="1"/>
    <col min="13310" max="13310" width="35" style="1" customWidth="1"/>
    <col min="13311" max="13314" width="13.25" style="1" customWidth="1"/>
    <col min="13315" max="13315" width="38.875" style="1" customWidth="1"/>
    <col min="13316" max="13316" width="16.75" style="1" customWidth="1"/>
    <col min="13317" max="13564" width="9.125" style="1"/>
    <col min="13565" max="13565" width="1.625" style="1" customWidth="1"/>
    <col min="13566" max="13566" width="35" style="1" customWidth="1"/>
    <col min="13567" max="13570" width="13.25" style="1" customWidth="1"/>
    <col min="13571" max="13571" width="38.875" style="1" customWidth="1"/>
    <col min="13572" max="13572" width="16.75" style="1" customWidth="1"/>
    <col min="13573" max="13820" width="9.125" style="1"/>
    <col min="13821" max="13821" width="1.625" style="1" customWidth="1"/>
    <col min="13822" max="13822" width="35" style="1" customWidth="1"/>
    <col min="13823" max="13826" width="13.25" style="1" customWidth="1"/>
    <col min="13827" max="13827" width="38.875" style="1" customWidth="1"/>
    <col min="13828" max="13828" width="16.75" style="1" customWidth="1"/>
    <col min="13829" max="14076" width="9.125" style="1"/>
    <col min="14077" max="14077" width="1.625" style="1" customWidth="1"/>
    <col min="14078" max="14078" width="35" style="1" customWidth="1"/>
    <col min="14079" max="14082" width="13.25" style="1" customWidth="1"/>
    <col min="14083" max="14083" width="38.875" style="1" customWidth="1"/>
    <col min="14084" max="14084" width="16.75" style="1" customWidth="1"/>
    <col min="14085" max="14332" width="9.125" style="1"/>
    <col min="14333" max="14333" width="1.625" style="1" customWidth="1"/>
    <col min="14334" max="14334" width="35" style="1" customWidth="1"/>
    <col min="14335" max="14338" width="13.25" style="1" customWidth="1"/>
    <col min="14339" max="14339" width="38.875" style="1" customWidth="1"/>
    <col min="14340" max="14340" width="16.75" style="1" customWidth="1"/>
    <col min="14341" max="14588" width="9.125" style="1"/>
    <col min="14589" max="14589" width="1.625" style="1" customWidth="1"/>
    <col min="14590" max="14590" width="35" style="1" customWidth="1"/>
    <col min="14591" max="14594" width="13.25" style="1" customWidth="1"/>
    <col min="14595" max="14595" width="38.875" style="1" customWidth="1"/>
    <col min="14596" max="14596" width="16.75" style="1" customWidth="1"/>
    <col min="14597" max="14844" width="9.125" style="1"/>
    <col min="14845" max="14845" width="1.625" style="1" customWidth="1"/>
    <col min="14846" max="14846" width="35" style="1" customWidth="1"/>
    <col min="14847" max="14850" width="13.25" style="1" customWidth="1"/>
    <col min="14851" max="14851" width="38.875" style="1" customWidth="1"/>
    <col min="14852" max="14852" width="16.75" style="1" customWidth="1"/>
    <col min="14853" max="15100" width="9.125" style="1"/>
    <col min="15101" max="15101" width="1.625" style="1" customWidth="1"/>
    <col min="15102" max="15102" width="35" style="1" customWidth="1"/>
    <col min="15103" max="15106" width="13.25" style="1" customWidth="1"/>
    <col min="15107" max="15107" width="38.875" style="1" customWidth="1"/>
    <col min="15108" max="15108" width="16.75" style="1" customWidth="1"/>
    <col min="15109" max="15356" width="9.125" style="1"/>
    <col min="15357" max="15357" width="1.625" style="1" customWidth="1"/>
    <col min="15358" max="15358" width="35" style="1" customWidth="1"/>
    <col min="15359" max="15362" width="13.25" style="1" customWidth="1"/>
    <col min="15363" max="15363" width="38.875" style="1" customWidth="1"/>
    <col min="15364" max="15364" width="16.75" style="1" customWidth="1"/>
    <col min="15365" max="15612" width="9.125" style="1"/>
    <col min="15613" max="15613" width="1.625" style="1" customWidth="1"/>
    <col min="15614" max="15614" width="35" style="1" customWidth="1"/>
    <col min="15615" max="15618" width="13.25" style="1" customWidth="1"/>
    <col min="15619" max="15619" width="38.875" style="1" customWidth="1"/>
    <col min="15620" max="15620" width="16.75" style="1" customWidth="1"/>
    <col min="15621" max="15868" width="9.125" style="1"/>
    <col min="15869" max="15869" width="1.625" style="1" customWidth="1"/>
    <col min="15870" max="15870" width="35" style="1" customWidth="1"/>
    <col min="15871" max="15874" width="13.25" style="1" customWidth="1"/>
    <col min="15875" max="15875" width="38.875" style="1" customWidth="1"/>
    <col min="15876" max="15876" width="16.75" style="1" customWidth="1"/>
    <col min="15877" max="16124" width="9.125" style="1"/>
    <col min="16125" max="16125" width="1.625" style="1" customWidth="1"/>
    <col min="16126" max="16126" width="35" style="1" customWidth="1"/>
    <col min="16127" max="16130" width="13.25" style="1" customWidth="1"/>
    <col min="16131" max="16131" width="38.875" style="1" customWidth="1"/>
    <col min="16132" max="16132" width="16.75" style="1" customWidth="1"/>
    <col min="16133" max="16384" width="9.125" style="1"/>
  </cols>
  <sheetData>
    <row r="2" spans="2:11" ht="23.25" customHeight="1">
      <c r="B2" s="356" t="s">
        <v>63</v>
      </c>
      <c r="C2" s="356"/>
      <c r="D2" s="356"/>
      <c r="E2" s="356"/>
      <c r="F2" s="356"/>
      <c r="G2" s="356"/>
      <c r="H2" s="356"/>
      <c r="I2" s="356"/>
      <c r="J2" s="356"/>
      <c r="K2" s="356"/>
    </row>
    <row r="3" spans="2:11">
      <c r="B3" s="5" t="s">
        <v>78</v>
      </c>
    </row>
    <row r="4" spans="2:11">
      <c r="B4" s="5" t="s">
        <v>79</v>
      </c>
    </row>
    <row r="5" spans="2:11">
      <c r="B5" s="5"/>
      <c r="G5" s="80"/>
      <c r="K5" s="1" t="s">
        <v>13</v>
      </c>
    </row>
    <row r="6" spans="2:11">
      <c r="B6" s="357" t="s">
        <v>12</v>
      </c>
      <c r="C6" s="353" t="s">
        <v>6</v>
      </c>
      <c r="D6" s="354"/>
      <c r="E6" s="355"/>
      <c r="F6" s="353" t="s">
        <v>7</v>
      </c>
      <c r="G6" s="354"/>
      <c r="H6" s="355"/>
      <c r="I6" s="97" t="s">
        <v>27</v>
      </c>
      <c r="J6" s="102" t="s">
        <v>27</v>
      </c>
      <c r="K6" s="359" t="s">
        <v>11</v>
      </c>
    </row>
    <row r="7" spans="2:11">
      <c r="B7" s="358"/>
      <c r="C7" s="12" t="s">
        <v>9</v>
      </c>
      <c r="D7" s="19" t="s">
        <v>8</v>
      </c>
      <c r="E7" s="12" t="s">
        <v>10</v>
      </c>
      <c r="F7" s="12" t="s">
        <v>9</v>
      </c>
      <c r="G7" s="19" t="s">
        <v>8</v>
      </c>
      <c r="H7" s="12" t="s">
        <v>10</v>
      </c>
      <c r="I7" s="98"/>
      <c r="J7" s="103" t="s">
        <v>28</v>
      </c>
      <c r="K7" s="360"/>
    </row>
    <row r="8" spans="2:11">
      <c r="B8" s="107" t="s">
        <v>0</v>
      </c>
      <c r="C8" s="108"/>
      <c r="D8" s="109"/>
      <c r="E8" s="110">
        <f>+E9+E10+E11+E12+E18</f>
        <v>601.70029999999997</v>
      </c>
      <c r="F8" s="108"/>
      <c r="G8" s="111"/>
      <c r="H8" s="110">
        <f>+H9+H10+H11+H12+H18</f>
        <v>647.91329999999994</v>
      </c>
      <c r="I8" s="112"/>
      <c r="J8" s="113"/>
      <c r="K8" s="2"/>
    </row>
    <row r="9" spans="2:11">
      <c r="B9" s="114" t="s">
        <v>29</v>
      </c>
      <c r="C9" s="115" t="s">
        <v>80</v>
      </c>
      <c r="D9" s="116">
        <f>+D27</f>
        <v>2311</v>
      </c>
      <c r="E9" s="115">
        <f t="shared" ref="E9:H9" si="0">+E27</f>
        <v>590.07759999999996</v>
      </c>
      <c r="F9" s="115" t="str">
        <f t="shared" si="0"/>
        <v>อัตรา</v>
      </c>
      <c r="G9" s="116">
        <f t="shared" si="0"/>
        <v>2309</v>
      </c>
      <c r="H9" s="115">
        <f t="shared" si="0"/>
        <v>631.06569999999999</v>
      </c>
      <c r="I9" s="117">
        <f>+H9-E9</f>
        <v>40.988100000000031</v>
      </c>
      <c r="J9" s="118">
        <f>+I9*100/H9</f>
        <v>6.4950606569173432</v>
      </c>
      <c r="K9" s="119"/>
    </row>
    <row r="10" spans="2:11">
      <c r="B10" s="120" t="s">
        <v>30</v>
      </c>
      <c r="C10" s="121"/>
      <c r="D10" s="122"/>
      <c r="E10" s="121">
        <f>+E41</f>
        <v>11.6227</v>
      </c>
      <c r="F10" s="121"/>
      <c r="G10" s="122"/>
      <c r="H10" s="121">
        <f>+H41</f>
        <v>16.8476</v>
      </c>
      <c r="I10" s="123">
        <f t="shared" ref="I10:I47" si="1">+H10-E10</f>
        <v>5.2248999999999999</v>
      </c>
      <c r="J10" s="124">
        <f t="shared" ref="J10:J47" si="2">+I10*100/H10</f>
        <v>31.012725848192026</v>
      </c>
      <c r="K10" s="125"/>
    </row>
    <row r="11" spans="2:11">
      <c r="B11" s="126" t="s">
        <v>31</v>
      </c>
      <c r="C11" s="127"/>
      <c r="D11" s="128"/>
      <c r="E11" s="127"/>
      <c r="F11" s="127"/>
      <c r="G11" s="128"/>
      <c r="H11" s="127"/>
      <c r="I11" s="129"/>
      <c r="J11" s="130"/>
      <c r="K11" s="131"/>
    </row>
    <row r="12" spans="2:11">
      <c r="B12" s="132" t="s">
        <v>32</v>
      </c>
      <c r="C12" s="133"/>
      <c r="D12" s="134"/>
      <c r="E12" s="133"/>
      <c r="F12" s="133"/>
      <c r="G12" s="134"/>
      <c r="H12" s="133"/>
      <c r="I12" s="135"/>
      <c r="J12" s="136"/>
      <c r="K12" s="137"/>
    </row>
    <row r="13" spans="2:11">
      <c r="B13" s="138" t="s">
        <v>72</v>
      </c>
      <c r="C13" s="139"/>
      <c r="D13" s="140"/>
      <c r="E13" s="139"/>
      <c r="F13" s="139"/>
      <c r="G13" s="140"/>
      <c r="H13" s="139"/>
      <c r="I13" s="141"/>
      <c r="J13" s="142"/>
      <c r="K13" s="143"/>
    </row>
    <row r="14" spans="2:11">
      <c r="B14" s="138" t="s">
        <v>33</v>
      </c>
      <c r="C14" s="139"/>
      <c r="D14" s="140"/>
      <c r="E14" s="139"/>
      <c r="F14" s="139"/>
      <c r="G14" s="140"/>
      <c r="H14" s="139"/>
      <c r="I14" s="141"/>
      <c r="J14" s="142"/>
      <c r="K14" s="143" t="s">
        <v>171</v>
      </c>
    </row>
    <row r="15" spans="2:11">
      <c r="B15" s="138" t="s">
        <v>34</v>
      </c>
      <c r="C15" s="139"/>
      <c r="D15" s="140"/>
      <c r="E15" s="139"/>
      <c r="F15" s="139"/>
      <c r="G15" s="140"/>
      <c r="H15" s="139"/>
      <c r="I15" s="141"/>
      <c r="J15" s="142"/>
      <c r="K15" s="143"/>
    </row>
    <row r="16" spans="2:11">
      <c r="B16" s="138" t="s">
        <v>35</v>
      </c>
      <c r="C16" s="139"/>
      <c r="D16" s="140"/>
      <c r="E16" s="139"/>
      <c r="F16" s="139"/>
      <c r="G16" s="140"/>
      <c r="H16" s="139"/>
      <c r="I16" s="141"/>
      <c r="J16" s="142"/>
      <c r="K16" s="143"/>
    </row>
    <row r="17" spans="2:13">
      <c r="B17" s="138" t="s">
        <v>36</v>
      </c>
      <c r="C17" s="139"/>
      <c r="D17" s="140"/>
      <c r="E17" s="139"/>
      <c r="F17" s="139"/>
      <c r="G17" s="140"/>
      <c r="H17" s="139"/>
      <c r="I17" s="141"/>
      <c r="J17" s="142"/>
      <c r="K17" s="143"/>
    </row>
    <row r="18" spans="2:13">
      <c r="B18" s="144" t="s">
        <v>37</v>
      </c>
      <c r="C18" s="145"/>
      <c r="D18" s="146"/>
      <c r="E18" s="145"/>
      <c r="F18" s="145"/>
      <c r="G18" s="146"/>
      <c r="H18" s="145"/>
      <c r="I18" s="147"/>
      <c r="J18" s="148"/>
      <c r="K18" s="149"/>
    </row>
    <row r="19" spans="2:13" s="106" customFormat="1">
      <c r="B19" s="138" t="s">
        <v>72</v>
      </c>
      <c r="C19" s="139"/>
      <c r="D19" s="140"/>
      <c r="E19" s="139"/>
      <c r="F19" s="139"/>
      <c r="G19" s="140"/>
      <c r="H19" s="139"/>
      <c r="I19" s="141"/>
      <c r="J19" s="142"/>
      <c r="K19" s="143"/>
      <c r="L19" s="105"/>
      <c r="M19" s="105"/>
    </row>
    <row r="20" spans="2:13" s="106" customFormat="1">
      <c r="B20" s="138" t="s">
        <v>33</v>
      </c>
      <c r="C20" s="139"/>
      <c r="D20" s="140"/>
      <c r="E20" s="139"/>
      <c r="F20" s="139"/>
      <c r="G20" s="140"/>
      <c r="H20" s="139"/>
      <c r="I20" s="141"/>
      <c r="J20" s="142"/>
      <c r="K20" s="143"/>
      <c r="L20" s="105"/>
      <c r="M20" s="105"/>
    </row>
    <row r="21" spans="2:13" s="106" customFormat="1">
      <c r="B21" s="138" t="s">
        <v>34</v>
      </c>
      <c r="C21" s="139"/>
      <c r="D21" s="140"/>
      <c r="E21" s="139"/>
      <c r="F21" s="139"/>
      <c r="G21" s="140"/>
      <c r="H21" s="139"/>
      <c r="I21" s="141"/>
      <c r="J21" s="142"/>
      <c r="K21" s="143"/>
      <c r="L21" s="105"/>
      <c r="M21" s="105"/>
    </row>
    <row r="22" spans="2:13" s="106" customFormat="1">
      <c r="B22" s="138" t="s">
        <v>35</v>
      </c>
      <c r="C22" s="139"/>
      <c r="D22" s="140"/>
      <c r="E22" s="139"/>
      <c r="F22" s="139"/>
      <c r="G22" s="140"/>
      <c r="H22" s="139"/>
      <c r="I22" s="141"/>
      <c r="J22" s="142"/>
      <c r="K22" s="143"/>
      <c r="L22" s="105"/>
      <c r="M22" s="105"/>
    </row>
    <row r="23" spans="2:13" s="106" customFormat="1">
      <c r="B23" s="138" t="s">
        <v>36</v>
      </c>
      <c r="C23" s="139"/>
      <c r="D23" s="140"/>
      <c r="E23" s="139"/>
      <c r="F23" s="139"/>
      <c r="G23" s="140"/>
      <c r="H23" s="139"/>
      <c r="I23" s="141"/>
      <c r="J23" s="142"/>
      <c r="K23" s="143"/>
      <c r="L23" s="105"/>
      <c r="M23" s="105"/>
    </row>
    <row r="24" spans="2:13">
      <c r="B24" s="150" t="s">
        <v>64</v>
      </c>
      <c r="C24" s="151"/>
      <c r="D24" s="152"/>
      <c r="E24" s="151">
        <f>+E27+E41</f>
        <v>601.70029999999997</v>
      </c>
      <c r="F24" s="151"/>
      <c r="G24" s="152"/>
      <c r="H24" s="151">
        <f>+H27+H41</f>
        <v>647.91329999999994</v>
      </c>
      <c r="I24" s="153">
        <f t="shared" si="1"/>
        <v>46.212999999999965</v>
      </c>
      <c r="J24" s="154">
        <f t="shared" si="2"/>
        <v>7.132590116609733</v>
      </c>
      <c r="K24" s="155"/>
    </row>
    <row r="25" spans="2:13" ht="37.5">
      <c r="B25" s="156" t="s">
        <v>81</v>
      </c>
      <c r="C25" s="157"/>
      <c r="D25" s="158"/>
      <c r="E25" s="157"/>
      <c r="F25" s="157"/>
      <c r="G25" s="158"/>
      <c r="H25" s="157"/>
      <c r="I25" s="159"/>
      <c r="J25" s="160"/>
      <c r="K25" s="161"/>
    </row>
    <row r="26" spans="2:13">
      <c r="B26" s="156" t="s">
        <v>77</v>
      </c>
      <c r="C26" s="157"/>
      <c r="D26" s="158"/>
      <c r="E26" s="157"/>
      <c r="F26" s="157"/>
      <c r="G26" s="158"/>
      <c r="H26" s="157"/>
      <c r="I26" s="159"/>
      <c r="J26" s="160"/>
      <c r="K26" s="161"/>
    </row>
    <row r="27" spans="2:13" ht="131.25">
      <c r="B27" s="162" t="s">
        <v>1</v>
      </c>
      <c r="C27" s="163" t="s">
        <v>80</v>
      </c>
      <c r="D27" s="164">
        <f>+D28+D35+D38</f>
        <v>2311</v>
      </c>
      <c r="E27" s="163">
        <f>+E28+E35+E38</f>
        <v>590.07759999999996</v>
      </c>
      <c r="F27" s="163" t="s">
        <v>80</v>
      </c>
      <c r="G27" s="164">
        <f>+G28+G35+G38</f>
        <v>2309</v>
      </c>
      <c r="H27" s="163">
        <f>+H28+H35+H38</f>
        <v>631.06569999999999</v>
      </c>
      <c r="I27" s="165">
        <f t="shared" si="1"/>
        <v>40.988100000000031</v>
      </c>
      <c r="J27" s="166">
        <f t="shared" si="2"/>
        <v>6.4950606569173432</v>
      </c>
      <c r="K27" s="162" t="s">
        <v>1024</v>
      </c>
    </row>
    <row r="28" spans="2:13">
      <c r="B28" s="179" t="s">
        <v>14</v>
      </c>
      <c r="C28" s="180" t="s">
        <v>80</v>
      </c>
      <c r="D28" s="181">
        <f>+D29+D33</f>
        <v>935</v>
      </c>
      <c r="E28" s="180">
        <f t="shared" ref="E28:G28" si="3">+E29+E33</f>
        <v>306.61579999999998</v>
      </c>
      <c r="F28" s="180" t="s">
        <v>80</v>
      </c>
      <c r="G28" s="181">
        <f t="shared" si="3"/>
        <v>909</v>
      </c>
      <c r="H28" s="180">
        <f>+H29+H33+H32+H34</f>
        <v>333.01729999999998</v>
      </c>
      <c r="I28" s="182">
        <f t="shared" si="1"/>
        <v>26.401499999999999</v>
      </c>
      <c r="J28" s="183">
        <f t="shared" si="2"/>
        <v>7.9279665050434307</v>
      </c>
      <c r="K28" s="184"/>
    </row>
    <row r="29" spans="2:13">
      <c r="B29" s="167" t="s">
        <v>15</v>
      </c>
      <c r="C29" s="168" t="s">
        <v>80</v>
      </c>
      <c r="D29" s="169">
        <v>500</v>
      </c>
      <c r="E29" s="168">
        <v>202.2731</v>
      </c>
      <c r="F29" s="168" t="s">
        <v>80</v>
      </c>
      <c r="G29" s="169">
        <v>500</v>
      </c>
      <c r="H29" s="168">
        <v>208.726</v>
      </c>
      <c r="I29" s="141">
        <f t="shared" si="1"/>
        <v>6.4528999999999996</v>
      </c>
      <c r="J29" s="142">
        <f t="shared" si="2"/>
        <v>3.0915650182535956</v>
      </c>
      <c r="K29" s="170" t="s">
        <v>191</v>
      </c>
    </row>
    <row r="30" spans="2:13">
      <c r="B30" s="171" t="s">
        <v>2</v>
      </c>
      <c r="C30" s="172"/>
      <c r="D30" s="173"/>
      <c r="E30" s="172"/>
      <c r="F30" s="168"/>
      <c r="G30" s="169"/>
      <c r="H30" s="172"/>
      <c r="I30" s="141"/>
      <c r="J30" s="142"/>
      <c r="K30" s="170" t="s">
        <v>192</v>
      </c>
    </row>
    <row r="31" spans="2:13">
      <c r="B31" s="171" t="s">
        <v>3</v>
      </c>
      <c r="C31" s="172"/>
      <c r="D31" s="173"/>
      <c r="E31" s="172"/>
      <c r="F31" s="168"/>
      <c r="G31" s="169"/>
      <c r="H31" s="172"/>
      <c r="I31" s="141"/>
      <c r="J31" s="142"/>
      <c r="K31" s="170"/>
    </row>
    <row r="32" spans="2:13">
      <c r="B32" s="171" t="s">
        <v>57</v>
      </c>
      <c r="C32" s="168"/>
      <c r="D32" s="169"/>
      <c r="E32" s="168"/>
      <c r="F32" s="168"/>
      <c r="G32" s="169"/>
      <c r="H32" s="168">
        <v>10.8718</v>
      </c>
      <c r="I32" s="141">
        <f t="shared" si="1"/>
        <v>10.8718</v>
      </c>
      <c r="J32" s="142">
        <f t="shared" si="2"/>
        <v>100</v>
      </c>
      <c r="K32" s="170"/>
    </row>
    <row r="33" spans="2:11" ht="56.25">
      <c r="B33" s="167" t="s">
        <v>16</v>
      </c>
      <c r="C33" s="168" t="s">
        <v>80</v>
      </c>
      <c r="D33" s="169">
        <v>435</v>
      </c>
      <c r="E33" s="168">
        <v>104.34269999999999</v>
      </c>
      <c r="F33" s="168" t="s">
        <v>80</v>
      </c>
      <c r="G33" s="169">
        <v>409</v>
      </c>
      <c r="H33" s="168">
        <v>112.9695</v>
      </c>
      <c r="I33" s="141">
        <f t="shared" si="1"/>
        <v>8.6268000000000029</v>
      </c>
      <c r="J33" s="142">
        <f t="shared" si="2"/>
        <v>7.6363974347058301</v>
      </c>
      <c r="K33" s="175" t="s">
        <v>494</v>
      </c>
    </row>
    <row r="34" spans="2:11">
      <c r="B34" s="167" t="s">
        <v>262</v>
      </c>
      <c r="C34" s="168"/>
      <c r="D34" s="169"/>
      <c r="E34" s="168"/>
      <c r="F34" s="168"/>
      <c r="G34" s="169"/>
      <c r="H34" s="168">
        <v>0.45</v>
      </c>
      <c r="I34" s="141">
        <f t="shared" si="1"/>
        <v>0.45</v>
      </c>
      <c r="J34" s="142">
        <f t="shared" si="2"/>
        <v>100</v>
      </c>
      <c r="K34" s="175"/>
    </row>
    <row r="35" spans="2:11">
      <c r="B35" s="179" t="s">
        <v>39</v>
      </c>
      <c r="C35" s="180" t="s">
        <v>80</v>
      </c>
      <c r="D35" s="181">
        <v>0</v>
      </c>
      <c r="E35" s="180">
        <v>0</v>
      </c>
      <c r="F35" s="180" t="s">
        <v>80</v>
      </c>
      <c r="G35" s="181">
        <v>0</v>
      </c>
      <c r="H35" s="180">
        <v>0</v>
      </c>
      <c r="I35" s="182"/>
      <c r="J35" s="183"/>
      <c r="K35" s="184"/>
    </row>
    <row r="36" spans="2:11">
      <c r="B36" s="171" t="s">
        <v>2</v>
      </c>
      <c r="C36" s="172"/>
      <c r="D36" s="173"/>
      <c r="E36" s="172"/>
      <c r="F36" s="168"/>
      <c r="G36" s="169"/>
      <c r="H36" s="172"/>
      <c r="I36" s="141"/>
      <c r="J36" s="142"/>
      <c r="K36" s="170"/>
    </row>
    <row r="37" spans="2:11">
      <c r="B37" s="171" t="s">
        <v>3</v>
      </c>
      <c r="C37" s="172"/>
      <c r="D37" s="173"/>
      <c r="E37" s="172"/>
      <c r="F37" s="168"/>
      <c r="G37" s="169"/>
      <c r="H37" s="172"/>
      <c r="I37" s="141"/>
      <c r="J37" s="142"/>
      <c r="K37" s="170"/>
    </row>
    <row r="38" spans="2:11">
      <c r="B38" s="179" t="s">
        <v>40</v>
      </c>
      <c r="C38" s="180" t="s">
        <v>80</v>
      </c>
      <c r="D38" s="181">
        <v>1376</v>
      </c>
      <c r="E38" s="180">
        <v>283.46179999999998</v>
      </c>
      <c r="F38" s="180" t="s">
        <v>80</v>
      </c>
      <c r="G38" s="181">
        <f>+G39+G40</f>
        <v>1400</v>
      </c>
      <c r="H38" s="180">
        <v>298.04840000000002</v>
      </c>
      <c r="I38" s="182">
        <f t="shared" si="1"/>
        <v>14.586600000000033</v>
      </c>
      <c r="J38" s="183">
        <f t="shared" si="2"/>
        <v>4.89403734427027</v>
      </c>
      <c r="K38" s="179"/>
    </row>
    <row r="39" spans="2:11">
      <c r="B39" s="171" t="s">
        <v>2</v>
      </c>
      <c r="C39" s="172"/>
      <c r="D39" s="173"/>
      <c r="E39" s="172"/>
      <c r="F39" s="168"/>
      <c r="G39" s="169">
        <v>1376</v>
      </c>
      <c r="H39" s="172"/>
      <c r="I39" s="141"/>
      <c r="J39" s="142"/>
      <c r="K39" s="143" t="s">
        <v>244</v>
      </c>
    </row>
    <row r="40" spans="2:11" ht="56.25">
      <c r="B40" s="171" t="s">
        <v>3</v>
      </c>
      <c r="C40" s="172"/>
      <c r="D40" s="173"/>
      <c r="E40" s="172"/>
      <c r="F40" s="168"/>
      <c r="G40" s="169">
        <v>24</v>
      </c>
      <c r="H40" s="172"/>
      <c r="I40" s="141"/>
      <c r="J40" s="142"/>
      <c r="K40" s="175" t="s">
        <v>245</v>
      </c>
    </row>
    <row r="41" spans="2:11">
      <c r="B41" s="177" t="s">
        <v>4</v>
      </c>
      <c r="C41" s="121"/>
      <c r="D41" s="122">
        <f>+D43</f>
        <v>0</v>
      </c>
      <c r="E41" s="121">
        <f>+E42</f>
        <v>11.6227</v>
      </c>
      <c r="F41" s="121">
        <f t="shared" ref="F41:G41" si="4">+F43</f>
        <v>0</v>
      </c>
      <c r="G41" s="122">
        <f t="shared" si="4"/>
        <v>0</v>
      </c>
      <c r="H41" s="121">
        <f>+H42</f>
        <v>16.8476</v>
      </c>
      <c r="I41" s="123">
        <f t="shared" si="1"/>
        <v>5.2248999999999999</v>
      </c>
      <c r="J41" s="124">
        <f t="shared" si="2"/>
        <v>31.012725848192026</v>
      </c>
      <c r="K41" s="125"/>
    </row>
    <row r="42" spans="2:11">
      <c r="B42" s="167" t="s">
        <v>5</v>
      </c>
      <c r="C42" s="168"/>
      <c r="D42" s="140"/>
      <c r="E42" s="168">
        <f>+E43+E46</f>
        <v>11.6227</v>
      </c>
      <c r="F42" s="168"/>
      <c r="G42" s="169"/>
      <c r="H42" s="168">
        <f>+H43+H46</f>
        <v>16.8476</v>
      </c>
      <c r="I42" s="141">
        <f t="shared" si="1"/>
        <v>5.2248999999999999</v>
      </c>
      <c r="J42" s="142">
        <f t="shared" si="2"/>
        <v>31.012725848192026</v>
      </c>
      <c r="K42" s="170"/>
    </row>
    <row r="43" spans="2:11">
      <c r="B43" s="167" t="s">
        <v>263</v>
      </c>
      <c r="C43" s="168"/>
      <c r="D43" s="140">
        <f>+D44+D45</f>
        <v>0</v>
      </c>
      <c r="E43" s="139">
        <f t="shared" ref="E43:G43" si="5">+E44+E45</f>
        <v>0</v>
      </c>
      <c r="F43" s="139">
        <f t="shared" si="5"/>
        <v>0</v>
      </c>
      <c r="G43" s="140">
        <f t="shared" si="5"/>
        <v>0</v>
      </c>
      <c r="H43" s="193">
        <v>2.5</v>
      </c>
      <c r="I43" s="141">
        <f t="shared" si="1"/>
        <v>2.5</v>
      </c>
      <c r="J43" s="142">
        <f t="shared" si="2"/>
        <v>100</v>
      </c>
      <c r="K43" s="170"/>
    </row>
    <row r="44" spans="2:11">
      <c r="B44" s="194" t="s">
        <v>17</v>
      </c>
      <c r="C44" s="168"/>
      <c r="D44" s="140"/>
      <c r="E44" s="168"/>
      <c r="F44" s="168"/>
      <c r="G44" s="169"/>
      <c r="H44" s="168"/>
      <c r="I44" s="141"/>
      <c r="J44" s="142"/>
      <c r="K44" s="170"/>
    </row>
    <row r="45" spans="2:11">
      <c r="B45" s="194" t="s">
        <v>18</v>
      </c>
      <c r="C45" s="168"/>
      <c r="D45" s="140"/>
      <c r="E45" s="168"/>
      <c r="F45" s="168"/>
      <c r="G45" s="169"/>
      <c r="H45" s="168"/>
      <c r="I45" s="141"/>
      <c r="J45" s="142"/>
      <c r="K45" s="170"/>
    </row>
    <row r="46" spans="2:11">
      <c r="B46" s="167" t="s">
        <v>75</v>
      </c>
      <c r="C46" s="168"/>
      <c r="D46" s="140">
        <f>+D47</f>
        <v>0</v>
      </c>
      <c r="E46" s="139">
        <f t="shared" ref="E46:H46" si="6">+E47</f>
        <v>11.6227</v>
      </c>
      <c r="F46" s="139">
        <f t="shared" si="6"/>
        <v>0</v>
      </c>
      <c r="G46" s="140">
        <f t="shared" si="6"/>
        <v>0</v>
      </c>
      <c r="H46" s="139">
        <f t="shared" si="6"/>
        <v>14.3476</v>
      </c>
      <c r="I46" s="141">
        <f t="shared" si="1"/>
        <v>2.7248999999999999</v>
      </c>
      <c r="J46" s="142">
        <f t="shared" si="2"/>
        <v>18.992026541024284</v>
      </c>
      <c r="K46" s="170"/>
    </row>
    <row r="47" spans="2:11" ht="56.25">
      <c r="B47" s="171" t="s">
        <v>76</v>
      </c>
      <c r="C47" s="168"/>
      <c r="D47" s="140"/>
      <c r="E47" s="168">
        <v>11.6227</v>
      </c>
      <c r="F47" s="168"/>
      <c r="G47" s="169"/>
      <c r="H47" s="168">
        <v>14.3476</v>
      </c>
      <c r="I47" s="141">
        <f t="shared" si="1"/>
        <v>2.7248999999999999</v>
      </c>
      <c r="J47" s="142">
        <f t="shared" si="2"/>
        <v>18.992026541024284</v>
      </c>
      <c r="K47" s="167" t="s">
        <v>355</v>
      </c>
    </row>
    <row r="48" spans="2:11">
      <c r="B48" s="179" t="s">
        <v>53</v>
      </c>
      <c r="C48" s="180"/>
      <c r="D48" s="181"/>
      <c r="E48" s="180"/>
      <c r="F48" s="180"/>
      <c r="G48" s="181"/>
      <c r="H48" s="180"/>
      <c r="I48" s="182"/>
      <c r="J48" s="183"/>
      <c r="K48" s="184"/>
    </row>
    <row r="49" spans="2:11" ht="37.5">
      <c r="B49" s="167" t="s">
        <v>59</v>
      </c>
      <c r="C49" s="168"/>
      <c r="D49" s="140"/>
      <c r="E49" s="168"/>
      <c r="F49" s="168"/>
      <c r="G49" s="169"/>
      <c r="H49" s="168"/>
      <c r="I49" s="141"/>
      <c r="J49" s="142"/>
      <c r="K49" s="170"/>
    </row>
    <row r="50" spans="2:11">
      <c r="B50" s="185" t="s">
        <v>56</v>
      </c>
      <c r="C50" s="145"/>
      <c r="D50" s="146"/>
      <c r="E50" s="145"/>
      <c r="F50" s="145"/>
      <c r="G50" s="146"/>
      <c r="H50" s="145"/>
      <c r="I50" s="147"/>
      <c r="J50" s="148"/>
      <c r="K50" s="149"/>
    </row>
    <row r="51" spans="2:11" ht="37.5">
      <c r="B51" s="186" t="s">
        <v>59</v>
      </c>
      <c r="C51" s="187"/>
      <c r="D51" s="188"/>
      <c r="E51" s="187"/>
      <c r="F51" s="187"/>
      <c r="G51" s="189"/>
      <c r="H51" s="187"/>
      <c r="I51" s="190"/>
      <c r="J51" s="191"/>
      <c r="K51" s="192"/>
    </row>
    <row r="52" spans="2:11">
      <c r="B52" s="8" t="s">
        <v>65</v>
      </c>
    </row>
    <row r="53" spans="2:11">
      <c r="B53" s="9" t="s">
        <v>70</v>
      </c>
    </row>
    <row r="54" spans="2:11" ht="20.25">
      <c r="B54" s="10" t="s">
        <v>73</v>
      </c>
      <c r="C54" s="15"/>
      <c r="D54" s="23"/>
      <c r="E54" s="15"/>
      <c r="F54" s="15"/>
      <c r="G54" s="22"/>
      <c r="H54" s="15"/>
      <c r="I54" s="100"/>
    </row>
    <row r="55" spans="2:11" ht="20.25">
      <c r="B55" s="7" t="s">
        <v>71</v>
      </c>
      <c r="C55" s="15"/>
      <c r="D55" s="23"/>
      <c r="E55" s="15"/>
      <c r="G55" s="22"/>
    </row>
  </sheetData>
  <mergeCells count="5">
    <mergeCell ref="C6:E6"/>
    <mergeCell ref="F6:H6"/>
    <mergeCell ref="B2:K2"/>
    <mergeCell ref="B6:B7"/>
    <mergeCell ref="K6:K7"/>
  </mergeCells>
  <pageMargins left="0.25" right="0.2" top="0.33" bottom="0.32" header="0.18" footer="0.24"/>
  <pageSetup paperSize="9" scale="80" fitToHeight="0" orientation="landscape" useFirstPageNumber="1" r:id="rId1"/>
  <headerFooter differentFirst="1">
    <oddHeader>&amp;C&amp;"TH SarabunPSK,ธรรมดา"&amp;16&amp;P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2:S1051"/>
  <sheetViews>
    <sheetView tabSelected="1" zoomScalePageLayoutView="110" workbookViewId="0">
      <pane xSplit="2" ySplit="8" topLeftCell="F27" activePane="bottomRight" state="frozen"/>
      <selection pane="topRight" activeCell="C1" sqref="C1"/>
      <selection pane="bottomLeft" activeCell="A9" sqref="A9"/>
      <selection pane="bottomRight" activeCell="G1033" sqref="G1033"/>
    </sheetView>
  </sheetViews>
  <sheetFormatPr defaultRowHeight="18.75"/>
  <cols>
    <col min="1" max="1" width="1.625" style="1" customWidth="1"/>
    <col min="2" max="2" width="35.125" style="4" customWidth="1"/>
    <col min="3" max="3" width="9.25" style="11" customWidth="1"/>
    <col min="4" max="4" width="7.75" style="18" customWidth="1"/>
    <col min="5" max="5" width="13.25" style="11" customWidth="1"/>
    <col min="6" max="6" width="9.375" style="11" customWidth="1"/>
    <col min="7" max="7" width="9" style="18" customWidth="1"/>
    <col min="8" max="8" width="13.25" style="11" customWidth="1"/>
    <col min="9" max="9" width="10.75" style="96" customWidth="1"/>
    <col min="10" max="10" width="10" style="101" customWidth="1"/>
    <col min="11" max="11" width="38.25" style="1" customWidth="1"/>
    <col min="12" max="12" width="10.375" style="62" hidden="1" customWidth="1"/>
    <col min="13" max="13" width="9.625" style="62" bestFit="1" customWidth="1"/>
    <col min="14" max="14" width="10.875" style="1" bestFit="1" customWidth="1"/>
    <col min="15" max="252" width="9" style="1"/>
    <col min="253" max="253" width="1.625" style="1" customWidth="1"/>
    <col min="254" max="254" width="35" style="1" customWidth="1"/>
    <col min="255" max="258" width="13.25" style="1" customWidth="1"/>
    <col min="259" max="259" width="38.875" style="1" customWidth="1"/>
    <col min="260" max="260" width="16.75" style="1" customWidth="1"/>
    <col min="261" max="508" width="9" style="1"/>
    <col min="509" max="509" width="1.625" style="1" customWidth="1"/>
    <col min="510" max="510" width="35" style="1" customWidth="1"/>
    <col min="511" max="514" width="13.25" style="1" customWidth="1"/>
    <col min="515" max="515" width="38.875" style="1" customWidth="1"/>
    <col min="516" max="516" width="16.75" style="1" customWidth="1"/>
    <col min="517" max="764" width="9" style="1"/>
    <col min="765" max="765" width="1.625" style="1" customWidth="1"/>
    <col min="766" max="766" width="35" style="1" customWidth="1"/>
    <col min="767" max="770" width="13.25" style="1" customWidth="1"/>
    <col min="771" max="771" width="38.875" style="1" customWidth="1"/>
    <col min="772" max="772" width="16.75" style="1" customWidth="1"/>
    <col min="773" max="1020" width="9" style="1"/>
    <col min="1021" max="1021" width="1.625" style="1" customWidth="1"/>
    <col min="1022" max="1022" width="35" style="1" customWidth="1"/>
    <col min="1023" max="1026" width="13.25" style="1" customWidth="1"/>
    <col min="1027" max="1027" width="38.875" style="1" customWidth="1"/>
    <col min="1028" max="1028" width="16.75" style="1" customWidth="1"/>
    <col min="1029" max="1276" width="9" style="1"/>
    <col min="1277" max="1277" width="1.625" style="1" customWidth="1"/>
    <col min="1278" max="1278" width="35" style="1" customWidth="1"/>
    <col min="1279" max="1282" width="13.25" style="1" customWidth="1"/>
    <col min="1283" max="1283" width="38.875" style="1" customWidth="1"/>
    <col min="1284" max="1284" width="16.75" style="1" customWidth="1"/>
    <col min="1285" max="1532" width="9" style="1"/>
    <col min="1533" max="1533" width="1.625" style="1" customWidth="1"/>
    <col min="1534" max="1534" width="35" style="1" customWidth="1"/>
    <col min="1535" max="1538" width="13.25" style="1" customWidth="1"/>
    <col min="1539" max="1539" width="38.875" style="1" customWidth="1"/>
    <col min="1540" max="1540" width="16.75" style="1" customWidth="1"/>
    <col min="1541" max="1788" width="9" style="1"/>
    <col min="1789" max="1789" width="1.625" style="1" customWidth="1"/>
    <col min="1790" max="1790" width="35" style="1" customWidth="1"/>
    <col min="1791" max="1794" width="13.25" style="1" customWidth="1"/>
    <col min="1795" max="1795" width="38.875" style="1" customWidth="1"/>
    <col min="1796" max="1796" width="16.75" style="1" customWidth="1"/>
    <col min="1797" max="2044" width="9" style="1"/>
    <col min="2045" max="2045" width="1.625" style="1" customWidth="1"/>
    <col min="2046" max="2046" width="35" style="1" customWidth="1"/>
    <col min="2047" max="2050" width="13.25" style="1" customWidth="1"/>
    <col min="2051" max="2051" width="38.875" style="1" customWidth="1"/>
    <col min="2052" max="2052" width="16.75" style="1" customWidth="1"/>
    <col min="2053" max="2300" width="9" style="1"/>
    <col min="2301" max="2301" width="1.625" style="1" customWidth="1"/>
    <col min="2302" max="2302" width="35" style="1" customWidth="1"/>
    <col min="2303" max="2306" width="13.25" style="1" customWidth="1"/>
    <col min="2307" max="2307" width="38.875" style="1" customWidth="1"/>
    <col min="2308" max="2308" width="16.75" style="1" customWidth="1"/>
    <col min="2309" max="2556" width="9" style="1"/>
    <col min="2557" max="2557" width="1.625" style="1" customWidth="1"/>
    <col min="2558" max="2558" width="35" style="1" customWidth="1"/>
    <col min="2559" max="2562" width="13.25" style="1" customWidth="1"/>
    <col min="2563" max="2563" width="38.875" style="1" customWidth="1"/>
    <col min="2564" max="2564" width="16.75" style="1" customWidth="1"/>
    <col min="2565" max="2812" width="9" style="1"/>
    <col min="2813" max="2813" width="1.625" style="1" customWidth="1"/>
    <col min="2814" max="2814" width="35" style="1" customWidth="1"/>
    <col min="2815" max="2818" width="13.25" style="1" customWidth="1"/>
    <col min="2819" max="2819" width="38.875" style="1" customWidth="1"/>
    <col min="2820" max="2820" width="16.75" style="1" customWidth="1"/>
    <col min="2821" max="3068" width="9" style="1"/>
    <col min="3069" max="3069" width="1.625" style="1" customWidth="1"/>
    <col min="3070" max="3070" width="35" style="1" customWidth="1"/>
    <col min="3071" max="3074" width="13.25" style="1" customWidth="1"/>
    <col min="3075" max="3075" width="38.875" style="1" customWidth="1"/>
    <col min="3076" max="3076" width="16.75" style="1" customWidth="1"/>
    <col min="3077" max="3324" width="9" style="1"/>
    <col min="3325" max="3325" width="1.625" style="1" customWidth="1"/>
    <col min="3326" max="3326" width="35" style="1" customWidth="1"/>
    <col min="3327" max="3330" width="13.25" style="1" customWidth="1"/>
    <col min="3331" max="3331" width="38.875" style="1" customWidth="1"/>
    <col min="3332" max="3332" width="16.75" style="1" customWidth="1"/>
    <col min="3333" max="3580" width="9" style="1"/>
    <col min="3581" max="3581" width="1.625" style="1" customWidth="1"/>
    <col min="3582" max="3582" width="35" style="1" customWidth="1"/>
    <col min="3583" max="3586" width="13.25" style="1" customWidth="1"/>
    <col min="3587" max="3587" width="38.875" style="1" customWidth="1"/>
    <col min="3588" max="3588" width="16.75" style="1" customWidth="1"/>
    <col min="3589" max="3836" width="9" style="1"/>
    <col min="3837" max="3837" width="1.625" style="1" customWidth="1"/>
    <col min="3838" max="3838" width="35" style="1" customWidth="1"/>
    <col min="3839" max="3842" width="13.25" style="1" customWidth="1"/>
    <col min="3843" max="3843" width="38.875" style="1" customWidth="1"/>
    <col min="3844" max="3844" width="16.75" style="1" customWidth="1"/>
    <col min="3845" max="4092" width="9" style="1"/>
    <col min="4093" max="4093" width="1.625" style="1" customWidth="1"/>
    <col min="4094" max="4094" width="35" style="1" customWidth="1"/>
    <col min="4095" max="4098" width="13.25" style="1" customWidth="1"/>
    <col min="4099" max="4099" width="38.875" style="1" customWidth="1"/>
    <col min="4100" max="4100" width="16.75" style="1" customWidth="1"/>
    <col min="4101" max="4348" width="9" style="1"/>
    <col min="4349" max="4349" width="1.625" style="1" customWidth="1"/>
    <col min="4350" max="4350" width="35" style="1" customWidth="1"/>
    <col min="4351" max="4354" width="13.25" style="1" customWidth="1"/>
    <col min="4355" max="4355" width="38.875" style="1" customWidth="1"/>
    <col min="4356" max="4356" width="16.75" style="1" customWidth="1"/>
    <col min="4357" max="4604" width="9" style="1"/>
    <col min="4605" max="4605" width="1.625" style="1" customWidth="1"/>
    <col min="4606" max="4606" width="35" style="1" customWidth="1"/>
    <col min="4607" max="4610" width="13.25" style="1" customWidth="1"/>
    <col min="4611" max="4611" width="38.875" style="1" customWidth="1"/>
    <col min="4612" max="4612" width="16.75" style="1" customWidth="1"/>
    <col min="4613" max="4860" width="9" style="1"/>
    <col min="4861" max="4861" width="1.625" style="1" customWidth="1"/>
    <col min="4862" max="4862" width="35" style="1" customWidth="1"/>
    <col min="4863" max="4866" width="13.25" style="1" customWidth="1"/>
    <col min="4867" max="4867" width="38.875" style="1" customWidth="1"/>
    <col min="4868" max="4868" width="16.75" style="1" customWidth="1"/>
    <col min="4869" max="5116" width="9" style="1"/>
    <col min="5117" max="5117" width="1.625" style="1" customWidth="1"/>
    <col min="5118" max="5118" width="35" style="1" customWidth="1"/>
    <col min="5119" max="5122" width="13.25" style="1" customWidth="1"/>
    <col min="5123" max="5123" width="38.875" style="1" customWidth="1"/>
    <col min="5124" max="5124" width="16.75" style="1" customWidth="1"/>
    <col min="5125" max="5372" width="9" style="1"/>
    <col min="5373" max="5373" width="1.625" style="1" customWidth="1"/>
    <col min="5374" max="5374" width="35" style="1" customWidth="1"/>
    <col min="5375" max="5378" width="13.25" style="1" customWidth="1"/>
    <col min="5379" max="5379" width="38.875" style="1" customWidth="1"/>
    <col min="5380" max="5380" width="16.75" style="1" customWidth="1"/>
    <col min="5381" max="5628" width="9" style="1"/>
    <col min="5629" max="5629" width="1.625" style="1" customWidth="1"/>
    <col min="5630" max="5630" width="35" style="1" customWidth="1"/>
    <col min="5631" max="5634" width="13.25" style="1" customWidth="1"/>
    <col min="5635" max="5635" width="38.875" style="1" customWidth="1"/>
    <col min="5636" max="5636" width="16.75" style="1" customWidth="1"/>
    <col min="5637" max="5884" width="9" style="1"/>
    <col min="5885" max="5885" width="1.625" style="1" customWidth="1"/>
    <col min="5886" max="5886" width="35" style="1" customWidth="1"/>
    <col min="5887" max="5890" width="13.25" style="1" customWidth="1"/>
    <col min="5891" max="5891" width="38.875" style="1" customWidth="1"/>
    <col min="5892" max="5892" width="16.75" style="1" customWidth="1"/>
    <col min="5893" max="6140" width="9" style="1"/>
    <col min="6141" max="6141" width="1.625" style="1" customWidth="1"/>
    <col min="6142" max="6142" width="35" style="1" customWidth="1"/>
    <col min="6143" max="6146" width="13.25" style="1" customWidth="1"/>
    <col min="6147" max="6147" width="38.875" style="1" customWidth="1"/>
    <col min="6148" max="6148" width="16.75" style="1" customWidth="1"/>
    <col min="6149" max="6396" width="9" style="1"/>
    <col min="6397" max="6397" width="1.625" style="1" customWidth="1"/>
    <col min="6398" max="6398" width="35" style="1" customWidth="1"/>
    <col min="6399" max="6402" width="13.25" style="1" customWidth="1"/>
    <col min="6403" max="6403" width="38.875" style="1" customWidth="1"/>
    <col min="6404" max="6404" width="16.75" style="1" customWidth="1"/>
    <col min="6405" max="6652" width="9" style="1"/>
    <col min="6653" max="6653" width="1.625" style="1" customWidth="1"/>
    <col min="6654" max="6654" width="35" style="1" customWidth="1"/>
    <col min="6655" max="6658" width="13.25" style="1" customWidth="1"/>
    <col min="6659" max="6659" width="38.875" style="1" customWidth="1"/>
    <col min="6660" max="6660" width="16.75" style="1" customWidth="1"/>
    <col min="6661" max="6908" width="9" style="1"/>
    <col min="6909" max="6909" width="1.625" style="1" customWidth="1"/>
    <col min="6910" max="6910" width="35" style="1" customWidth="1"/>
    <col min="6911" max="6914" width="13.25" style="1" customWidth="1"/>
    <col min="6915" max="6915" width="38.875" style="1" customWidth="1"/>
    <col min="6916" max="6916" width="16.75" style="1" customWidth="1"/>
    <col min="6917" max="7164" width="9" style="1"/>
    <col min="7165" max="7165" width="1.625" style="1" customWidth="1"/>
    <col min="7166" max="7166" width="35" style="1" customWidth="1"/>
    <col min="7167" max="7170" width="13.25" style="1" customWidth="1"/>
    <col min="7171" max="7171" width="38.875" style="1" customWidth="1"/>
    <col min="7172" max="7172" width="16.75" style="1" customWidth="1"/>
    <col min="7173" max="7420" width="9" style="1"/>
    <col min="7421" max="7421" width="1.625" style="1" customWidth="1"/>
    <col min="7422" max="7422" width="35" style="1" customWidth="1"/>
    <col min="7423" max="7426" width="13.25" style="1" customWidth="1"/>
    <col min="7427" max="7427" width="38.875" style="1" customWidth="1"/>
    <col min="7428" max="7428" width="16.75" style="1" customWidth="1"/>
    <col min="7429" max="7676" width="9" style="1"/>
    <col min="7677" max="7677" width="1.625" style="1" customWidth="1"/>
    <col min="7678" max="7678" width="35" style="1" customWidth="1"/>
    <col min="7679" max="7682" width="13.25" style="1" customWidth="1"/>
    <col min="7683" max="7683" width="38.875" style="1" customWidth="1"/>
    <col min="7684" max="7684" width="16.75" style="1" customWidth="1"/>
    <col min="7685" max="7932" width="9" style="1"/>
    <col min="7933" max="7933" width="1.625" style="1" customWidth="1"/>
    <col min="7934" max="7934" width="35" style="1" customWidth="1"/>
    <col min="7935" max="7938" width="13.25" style="1" customWidth="1"/>
    <col min="7939" max="7939" width="38.875" style="1" customWidth="1"/>
    <col min="7940" max="7940" width="16.75" style="1" customWidth="1"/>
    <col min="7941" max="8188" width="9" style="1"/>
    <col min="8189" max="8189" width="1.625" style="1" customWidth="1"/>
    <col min="8190" max="8190" width="35" style="1" customWidth="1"/>
    <col min="8191" max="8194" width="13.25" style="1" customWidth="1"/>
    <col min="8195" max="8195" width="38.875" style="1" customWidth="1"/>
    <col min="8196" max="8196" width="16.75" style="1" customWidth="1"/>
    <col min="8197" max="8444" width="9" style="1"/>
    <col min="8445" max="8445" width="1.625" style="1" customWidth="1"/>
    <col min="8446" max="8446" width="35" style="1" customWidth="1"/>
    <col min="8447" max="8450" width="13.25" style="1" customWidth="1"/>
    <col min="8451" max="8451" width="38.875" style="1" customWidth="1"/>
    <col min="8452" max="8452" width="16.75" style="1" customWidth="1"/>
    <col min="8453" max="8700" width="9" style="1"/>
    <col min="8701" max="8701" width="1.625" style="1" customWidth="1"/>
    <col min="8702" max="8702" width="35" style="1" customWidth="1"/>
    <col min="8703" max="8706" width="13.25" style="1" customWidth="1"/>
    <col min="8707" max="8707" width="38.875" style="1" customWidth="1"/>
    <col min="8708" max="8708" width="16.75" style="1" customWidth="1"/>
    <col min="8709" max="8956" width="9" style="1"/>
    <col min="8957" max="8957" width="1.625" style="1" customWidth="1"/>
    <col min="8958" max="8958" width="35" style="1" customWidth="1"/>
    <col min="8959" max="8962" width="13.25" style="1" customWidth="1"/>
    <col min="8963" max="8963" width="38.875" style="1" customWidth="1"/>
    <col min="8964" max="8964" width="16.75" style="1" customWidth="1"/>
    <col min="8965" max="9212" width="9" style="1"/>
    <col min="9213" max="9213" width="1.625" style="1" customWidth="1"/>
    <col min="9214" max="9214" width="35" style="1" customWidth="1"/>
    <col min="9215" max="9218" width="13.25" style="1" customWidth="1"/>
    <col min="9219" max="9219" width="38.875" style="1" customWidth="1"/>
    <col min="9220" max="9220" width="16.75" style="1" customWidth="1"/>
    <col min="9221" max="9468" width="9" style="1"/>
    <col min="9469" max="9469" width="1.625" style="1" customWidth="1"/>
    <col min="9470" max="9470" width="35" style="1" customWidth="1"/>
    <col min="9471" max="9474" width="13.25" style="1" customWidth="1"/>
    <col min="9475" max="9475" width="38.875" style="1" customWidth="1"/>
    <col min="9476" max="9476" width="16.75" style="1" customWidth="1"/>
    <col min="9477" max="9724" width="9" style="1"/>
    <col min="9725" max="9725" width="1.625" style="1" customWidth="1"/>
    <col min="9726" max="9726" width="35" style="1" customWidth="1"/>
    <col min="9727" max="9730" width="13.25" style="1" customWidth="1"/>
    <col min="9731" max="9731" width="38.875" style="1" customWidth="1"/>
    <col min="9732" max="9732" width="16.75" style="1" customWidth="1"/>
    <col min="9733" max="9980" width="9" style="1"/>
    <col min="9981" max="9981" width="1.625" style="1" customWidth="1"/>
    <col min="9982" max="9982" width="35" style="1" customWidth="1"/>
    <col min="9983" max="9986" width="13.25" style="1" customWidth="1"/>
    <col min="9987" max="9987" width="38.875" style="1" customWidth="1"/>
    <col min="9988" max="9988" width="16.75" style="1" customWidth="1"/>
    <col min="9989" max="10236" width="9" style="1"/>
    <col min="10237" max="10237" width="1.625" style="1" customWidth="1"/>
    <col min="10238" max="10238" width="35" style="1" customWidth="1"/>
    <col min="10239" max="10242" width="13.25" style="1" customWidth="1"/>
    <col min="10243" max="10243" width="38.875" style="1" customWidth="1"/>
    <col min="10244" max="10244" width="16.75" style="1" customWidth="1"/>
    <col min="10245" max="10492" width="9" style="1"/>
    <col min="10493" max="10493" width="1.625" style="1" customWidth="1"/>
    <col min="10494" max="10494" width="35" style="1" customWidth="1"/>
    <col min="10495" max="10498" width="13.25" style="1" customWidth="1"/>
    <col min="10499" max="10499" width="38.875" style="1" customWidth="1"/>
    <col min="10500" max="10500" width="16.75" style="1" customWidth="1"/>
    <col min="10501" max="10748" width="9" style="1"/>
    <col min="10749" max="10749" width="1.625" style="1" customWidth="1"/>
    <col min="10750" max="10750" width="35" style="1" customWidth="1"/>
    <col min="10751" max="10754" width="13.25" style="1" customWidth="1"/>
    <col min="10755" max="10755" width="38.875" style="1" customWidth="1"/>
    <col min="10756" max="10756" width="16.75" style="1" customWidth="1"/>
    <col min="10757" max="11004" width="9" style="1"/>
    <col min="11005" max="11005" width="1.625" style="1" customWidth="1"/>
    <col min="11006" max="11006" width="35" style="1" customWidth="1"/>
    <col min="11007" max="11010" width="13.25" style="1" customWidth="1"/>
    <col min="11011" max="11011" width="38.875" style="1" customWidth="1"/>
    <col min="11012" max="11012" width="16.75" style="1" customWidth="1"/>
    <col min="11013" max="11260" width="9" style="1"/>
    <col min="11261" max="11261" width="1.625" style="1" customWidth="1"/>
    <col min="11262" max="11262" width="35" style="1" customWidth="1"/>
    <col min="11263" max="11266" width="13.25" style="1" customWidth="1"/>
    <col min="11267" max="11267" width="38.875" style="1" customWidth="1"/>
    <col min="11268" max="11268" width="16.75" style="1" customWidth="1"/>
    <col min="11269" max="11516" width="9" style="1"/>
    <col min="11517" max="11517" width="1.625" style="1" customWidth="1"/>
    <col min="11518" max="11518" width="35" style="1" customWidth="1"/>
    <col min="11519" max="11522" width="13.25" style="1" customWidth="1"/>
    <col min="11523" max="11523" width="38.875" style="1" customWidth="1"/>
    <col min="11524" max="11524" width="16.75" style="1" customWidth="1"/>
    <col min="11525" max="11772" width="9" style="1"/>
    <col min="11773" max="11773" width="1.625" style="1" customWidth="1"/>
    <col min="11774" max="11774" width="35" style="1" customWidth="1"/>
    <col min="11775" max="11778" width="13.25" style="1" customWidth="1"/>
    <col min="11779" max="11779" width="38.875" style="1" customWidth="1"/>
    <col min="11780" max="11780" width="16.75" style="1" customWidth="1"/>
    <col min="11781" max="12028" width="9" style="1"/>
    <col min="12029" max="12029" width="1.625" style="1" customWidth="1"/>
    <col min="12030" max="12030" width="35" style="1" customWidth="1"/>
    <col min="12031" max="12034" width="13.25" style="1" customWidth="1"/>
    <col min="12035" max="12035" width="38.875" style="1" customWidth="1"/>
    <col min="12036" max="12036" width="16.75" style="1" customWidth="1"/>
    <col min="12037" max="12284" width="9" style="1"/>
    <col min="12285" max="12285" width="1.625" style="1" customWidth="1"/>
    <col min="12286" max="12286" width="35" style="1" customWidth="1"/>
    <col min="12287" max="12290" width="13.25" style="1" customWidth="1"/>
    <col min="12291" max="12291" width="38.875" style="1" customWidth="1"/>
    <col min="12292" max="12292" width="16.75" style="1" customWidth="1"/>
    <col min="12293" max="12540" width="9" style="1"/>
    <col min="12541" max="12541" width="1.625" style="1" customWidth="1"/>
    <col min="12542" max="12542" width="35" style="1" customWidth="1"/>
    <col min="12543" max="12546" width="13.25" style="1" customWidth="1"/>
    <col min="12547" max="12547" width="38.875" style="1" customWidth="1"/>
    <col min="12548" max="12548" width="16.75" style="1" customWidth="1"/>
    <col min="12549" max="12796" width="9" style="1"/>
    <col min="12797" max="12797" width="1.625" style="1" customWidth="1"/>
    <col min="12798" max="12798" width="35" style="1" customWidth="1"/>
    <col min="12799" max="12802" width="13.25" style="1" customWidth="1"/>
    <col min="12803" max="12803" width="38.875" style="1" customWidth="1"/>
    <col min="12804" max="12804" width="16.75" style="1" customWidth="1"/>
    <col min="12805" max="13052" width="9" style="1"/>
    <col min="13053" max="13053" width="1.625" style="1" customWidth="1"/>
    <col min="13054" max="13054" width="35" style="1" customWidth="1"/>
    <col min="13055" max="13058" width="13.25" style="1" customWidth="1"/>
    <col min="13059" max="13059" width="38.875" style="1" customWidth="1"/>
    <col min="13060" max="13060" width="16.75" style="1" customWidth="1"/>
    <col min="13061" max="13308" width="9" style="1"/>
    <col min="13309" max="13309" width="1.625" style="1" customWidth="1"/>
    <col min="13310" max="13310" width="35" style="1" customWidth="1"/>
    <col min="13311" max="13314" width="13.25" style="1" customWidth="1"/>
    <col min="13315" max="13315" width="38.875" style="1" customWidth="1"/>
    <col min="13316" max="13316" width="16.75" style="1" customWidth="1"/>
    <col min="13317" max="13564" width="9" style="1"/>
    <col min="13565" max="13565" width="1.625" style="1" customWidth="1"/>
    <col min="13566" max="13566" width="35" style="1" customWidth="1"/>
    <col min="13567" max="13570" width="13.25" style="1" customWidth="1"/>
    <col min="13571" max="13571" width="38.875" style="1" customWidth="1"/>
    <col min="13572" max="13572" width="16.75" style="1" customWidth="1"/>
    <col min="13573" max="13820" width="9" style="1"/>
    <col min="13821" max="13821" width="1.625" style="1" customWidth="1"/>
    <col min="13822" max="13822" width="35" style="1" customWidth="1"/>
    <col min="13823" max="13826" width="13.25" style="1" customWidth="1"/>
    <col min="13827" max="13827" width="38.875" style="1" customWidth="1"/>
    <col min="13828" max="13828" width="16.75" style="1" customWidth="1"/>
    <col min="13829" max="14076" width="9" style="1"/>
    <col min="14077" max="14077" width="1.625" style="1" customWidth="1"/>
    <col min="14078" max="14078" width="35" style="1" customWidth="1"/>
    <col min="14079" max="14082" width="13.25" style="1" customWidth="1"/>
    <col min="14083" max="14083" width="38.875" style="1" customWidth="1"/>
    <col min="14084" max="14084" width="16.75" style="1" customWidth="1"/>
    <col min="14085" max="14332" width="9" style="1"/>
    <col min="14333" max="14333" width="1.625" style="1" customWidth="1"/>
    <col min="14334" max="14334" width="35" style="1" customWidth="1"/>
    <col min="14335" max="14338" width="13.25" style="1" customWidth="1"/>
    <col min="14339" max="14339" width="38.875" style="1" customWidth="1"/>
    <col min="14340" max="14340" width="16.75" style="1" customWidth="1"/>
    <col min="14341" max="14588" width="9" style="1"/>
    <col min="14589" max="14589" width="1.625" style="1" customWidth="1"/>
    <col min="14590" max="14590" width="35" style="1" customWidth="1"/>
    <col min="14591" max="14594" width="13.25" style="1" customWidth="1"/>
    <col min="14595" max="14595" width="38.875" style="1" customWidth="1"/>
    <col min="14596" max="14596" width="16.75" style="1" customWidth="1"/>
    <col min="14597" max="14844" width="9" style="1"/>
    <col min="14845" max="14845" width="1.625" style="1" customWidth="1"/>
    <col min="14846" max="14846" width="35" style="1" customWidth="1"/>
    <col min="14847" max="14850" width="13.25" style="1" customWidth="1"/>
    <col min="14851" max="14851" width="38.875" style="1" customWidth="1"/>
    <col min="14852" max="14852" width="16.75" style="1" customWidth="1"/>
    <col min="14853" max="15100" width="9" style="1"/>
    <col min="15101" max="15101" width="1.625" style="1" customWidth="1"/>
    <col min="15102" max="15102" width="35" style="1" customWidth="1"/>
    <col min="15103" max="15106" width="13.25" style="1" customWidth="1"/>
    <col min="15107" max="15107" width="38.875" style="1" customWidth="1"/>
    <col min="15108" max="15108" width="16.75" style="1" customWidth="1"/>
    <col min="15109" max="15356" width="9" style="1"/>
    <col min="15357" max="15357" width="1.625" style="1" customWidth="1"/>
    <col min="15358" max="15358" width="35" style="1" customWidth="1"/>
    <col min="15359" max="15362" width="13.25" style="1" customWidth="1"/>
    <col min="15363" max="15363" width="38.875" style="1" customWidth="1"/>
    <col min="15364" max="15364" width="16.75" style="1" customWidth="1"/>
    <col min="15365" max="15612" width="9" style="1"/>
    <col min="15613" max="15613" width="1.625" style="1" customWidth="1"/>
    <col min="15614" max="15614" width="35" style="1" customWidth="1"/>
    <col min="15615" max="15618" width="13.25" style="1" customWidth="1"/>
    <col min="15619" max="15619" width="38.875" style="1" customWidth="1"/>
    <col min="15620" max="15620" width="16.75" style="1" customWidth="1"/>
    <col min="15621" max="15868" width="9" style="1"/>
    <col min="15869" max="15869" width="1.625" style="1" customWidth="1"/>
    <col min="15870" max="15870" width="35" style="1" customWidth="1"/>
    <col min="15871" max="15874" width="13.25" style="1" customWidth="1"/>
    <col min="15875" max="15875" width="38.875" style="1" customWidth="1"/>
    <col min="15876" max="15876" width="16.75" style="1" customWidth="1"/>
    <col min="15877" max="16124" width="9" style="1"/>
    <col min="16125" max="16125" width="1.625" style="1" customWidth="1"/>
    <col min="16126" max="16126" width="35" style="1" customWidth="1"/>
    <col min="16127" max="16130" width="13.25" style="1" customWidth="1"/>
    <col min="16131" max="16131" width="38.875" style="1" customWidth="1"/>
    <col min="16132" max="16132" width="16.75" style="1" customWidth="1"/>
    <col min="16133" max="16384" width="9" style="1"/>
  </cols>
  <sheetData>
    <row r="2" spans="2:11" ht="23.25" customHeight="1">
      <c r="B2" s="356" t="s">
        <v>63</v>
      </c>
      <c r="C2" s="356"/>
      <c r="D2" s="356"/>
      <c r="E2" s="356"/>
      <c r="F2" s="356"/>
      <c r="G2" s="356"/>
      <c r="H2" s="356"/>
      <c r="I2" s="356"/>
      <c r="J2" s="356"/>
      <c r="K2" s="356"/>
    </row>
    <row r="3" spans="2:11" ht="37.5">
      <c r="B3" s="5" t="s">
        <v>78</v>
      </c>
    </row>
    <row r="4" spans="2:11">
      <c r="B4" s="5" t="s">
        <v>79</v>
      </c>
    </row>
    <row r="5" spans="2:11">
      <c r="B5" s="5"/>
      <c r="E5" s="11">
        <f>+แผนบุคลากร!E8+งานตามภารกิจพื่นฐาน!E8</f>
        <v>2114.473</v>
      </c>
      <c r="G5" s="80"/>
      <c r="K5" s="1" t="s">
        <v>13</v>
      </c>
    </row>
    <row r="6" spans="2:11">
      <c r="B6" s="357" t="s">
        <v>12</v>
      </c>
      <c r="C6" s="353" t="s">
        <v>6</v>
      </c>
      <c r="D6" s="354"/>
      <c r="E6" s="355"/>
      <c r="F6" s="353" t="s">
        <v>7</v>
      </c>
      <c r="G6" s="354"/>
      <c r="H6" s="355"/>
      <c r="I6" s="97" t="s">
        <v>27</v>
      </c>
      <c r="J6" s="102" t="s">
        <v>27</v>
      </c>
      <c r="K6" s="359" t="s">
        <v>11</v>
      </c>
    </row>
    <row r="7" spans="2:11">
      <c r="B7" s="358"/>
      <c r="C7" s="12" t="s">
        <v>9</v>
      </c>
      <c r="D7" s="19" t="s">
        <v>8</v>
      </c>
      <c r="E7" s="12" t="s">
        <v>10</v>
      </c>
      <c r="F7" s="12" t="s">
        <v>9</v>
      </c>
      <c r="G7" s="19" t="s">
        <v>8</v>
      </c>
      <c r="H7" s="12" t="s">
        <v>10</v>
      </c>
      <c r="I7" s="98"/>
      <c r="J7" s="103" t="s">
        <v>28</v>
      </c>
      <c r="K7" s="360"/>
    </row>
    <row r="8" spans="2:11" ht="19.5" thickBot="1">
      <c r="B8" s="6" t="s">
        <v>0</v>
      </c>
      <c r="C8" s="13"/>
      <c r="D8" s="24"/>
      <c r="E8" s="14">
        <f>+E9+E10+E11+E12+E18</f>
        <v>1512.7727</v>
      </c>
      <c r="F8" s="13"/>
      <c r="G8" s="20"/>
      <c r="H8" s="14">
        <f>+H9+H10+H11+H12+H18</f>
        <v>2524.5871200000001</v>
      </c>
      <c r="I8" s="99">
        <f>+H8-E8</f>
        <v>1011.8144200000002</v>
      </c>
      <c r="J8" s="104">
        <f t="shared" ref="J8:J44" si="0">+I8*100/H8</f>
        <v>40.078411712723941</v>
      </c>
      <c r="K8" s="3"/>
    </row>
    <row r="9" spans="2:11" ht="19.5" thickTop="1">
      <c r="B9" s="196" t="s">
        <v>29</v>
      </c>
      <c r="C9" s="197"/>
      <c r="D9" s="198"/>
      <c r="E9" s="197"/>
      <c r="F9" s="197"/>
      <c r="G9" s="198"/>
      <c r="H9" s="197"/>
      <c r="I9" s="199"/>
      <c r="J9" s="200"/>
      <c r="K9" s="201"/>
    </row>
    <row r="10" spans="2:11">
      <c r="B10" s="120" t="s">
        <v>30</v>
      </c>
      <c r="C10" s="121"/>
      <c r="D10" s="122"/>
      <c r="E10" s="121">
        <f>E30+E175+E307+E429+E533+E677+E797+E875+E946</f>
        <v>711.9203</v>
      </c>
      <c r="F10" s="121"/>
      <c r="G10" s="122"/>
      <c r="H10" s="121">
        <f>H30+H175+H307+H429+H533+H677+H797+H875+H946</f>
        <v>1068.19812</v>
      </c>
      <c r="I10" s="123">
        <f t="shared" ref="I10:I44" si="1">+H10-E10</f>
        <v>356.27782000000002</v>
      </c>
      <c r="J10" s="124">
        <f t="shared" si="0"/>
        <v>33.353159243530591</v>
      </c>
      <c r="K10" s="125"/>
    </row>
    <row r="11" spans="2:11">
      <c r="B11" s="126" t="s">
        <v>31</v>
      </c>
      <c r="C11" s="127"/>
      <c r="D11" s="128"/>
      <c r="E11" s="127">
        <f>+E138+E270+E384+E501+E644+E766+E841+E914+E1015</f>
        <v>474.81270000000001</v>
      </c>
      <c r="F11" s="127"/>
      <c r="G11" s="128"/>
      <c r="H11" s="127">
        <f>+H138+H270+H384+H501+H644+H766+H841+H914+H1015</f>
        <v>1094.9024999999999</v>
      </c>
      <c r="I11" s="129">
        <f t="shared" si="1"/>
        <v>620.08979999999997</v>
      </c>
      <c r="J11" s="130">
        <f t="shared" si="0"/>
        <v>56.634248254981607</v>
      </c>
      <c r="K11" s="131"/>
    </row>
    <row r="12" spans="2:11">
      <c r="B12" s="132" t="s">
        <v>32</v>
      </c>
      <c r="C12" s="133"/>
      <c r="D12" s="134"/>
      <c r="E12" s="133">
        <f>+E16</f>
        <v>288.76069999999999</v>
      </c>
      <c r="F12" s="133"/>
      <c r="G12" s="134"/>
      <c r="H12" s="133">
        <f>+H16</f>
        <v>302.10000000000002</v>
      </c>
      <c r="I12" s="135">
        <f t="shared" si="1"/>
        <v>13.339300000000037</v>
      </c>
      <c r="J12" s="136">
        <f t="shared" si="0"/>
        <v>4.4155246607083862</v>
      </c>
      <c r="K12" s="137"/>
    </row>
    <row r="13" spans="2:11">
      <c r="B13" s="138" t="s">
        <v>72</v>
      </c>
      <c r="C13" s="139"/>
      <c r="D13" s="140"/>
      <c r="E13" s="139"/>
      <c r="F13" s="139"/>
      <c r="G13" s="140"/>
      <c r="H13" s="139"/>
      <c r="I13" s="141"/>
      <c r="J13" s="142"/>
      <c r="K13" s="143"/>
    </row>
    <row r="14" spans="2:11">
      <c r="B14" s="138" t="s">
        <v>33</v>
      </c>
      <c r="C14" s="139"/>
      <c r="D14" s="140"/>
      <c r="E14" s="139"/>
      <c r="F14" s="139"/>
      <c r="G14" s="140"/>
      <c r="H14" s="139"/>
      <c r="I14" s="141"/>
      <c r="J14" s="142"/>
      <c r="K14" s="143" t="s">
        <v>171</v>
      </c>
    </row>
    <row r="15" spans="2:11">
      <c r="B15" s="138" t="s">
        <v>34</v>
      </c>
      <c r="C15" s="139"/>
      <c r="D15" s="140"/>
      <c r="E15" s="139"/>
      <c r="F15" s="139"/>
      <c r="G15" s="140"/>
      <c r="H15" s="139"/>
      <c r="I15" s="141"/>
      <c r="J15" s="142"/>
      <c r="K15" s="143"/>
    </row>
    <row r="16" spans="2:11">
      <c r="B16" s="138" t="s">
        <v>35</v>
      </c>
      <c r="C16" s="139"/>
      <c r="D16" s="140"/>
      <c r="E16" s="139">
        <f>+E161+E293+E409+E524+E667+E789+E864+E939+E1038</f>
        <v>288.76069999999999</v>
      </c>
      <c r="F16" s="139"/>
      <c r="G16" s="140"/>
      <c r="H16" s="139">
        <f>+H161+H293+H409+H524+H667+H789+H864+H939+H1038</f>
        <v>302.10000000000002</v>
      </c>
      <c r="I16" s="141">
        <f t="shared" si="1"/>
        <v>13.339300000000037</v>
      </c>
      <c r="J16" s="142">
        <f t="shared" si="0"/>
        <v>4.4155246607083862</v>
      </c>
      <c r="K16" s="143"/>
    </row>
    <row r="17" spans="1:19">
      <c r="B17" s="138" t="s">
        <v>36</v>
      </c>
      <c r="C17" s="139"/>
      <c r="D17" s="140"/>
      <c r="E17" s="139"/>
      <c r="F17" s="139"/>
      <c r="G17" s="140"/>
      <c r="H17" s="139"/>
      <c r="I17" s="141"/>
      <c r="J17" s="142"/>
      <c r="K17" s="143"/>
    </row>
    <row r="18" spans="1:19">
      <c r="B18" s="144" t="s">
        <v>37</v>
      </c>
      <c r="C18" s="145"/>
      <c r="D18" s="146"/>
      <c r="E18" s="145">
        <f>+E23</f>
        <v>37.278999999999996</v>
      </c>
      <c r="F18" s="145"/>
      <c r="G18" s="146"/>
      <c r="H18" s="145">
        <f>+H23</f>
        <v>59.386499999999998</v>
      </c>
      <c r="I18" s="147">
        <f t="shared" si="1"/>
        <v>22.107500000000002</v>
      </c>
      <c r="J18" s="148">
        <f t="shared" si="0"/>
        <v>37.226474030293083</v>
      </c>
      <c r="K18" s="149"/>
    </row>
    <row r="19" spans="1:19" s="106" customFormat="1">
      <c r="B19" s="138" t="s">
        <v>72</v>
      </c>
      <c r="C19" s="139"/>
      <c r="D19" s="140"/>
      <c r="E19" s="139"/>
      <c r="F19" s="139"/>
      <c r="G19" s="140"/>
      <c r="H19" s="139"/>
      <c r="I19" s="141"/>
      <c r="J19" s="142"/>
      <c r="K19" s="143"/>
      <c r="L19" s="105"/>
      <c r="M19" s="105"/>
    </row>
    <row r="20" spans="1:19" s="106" customFormat="1">
      <c r="B20" s="138" t="s">
        <v>33</v>
      </c>
      <c r="C20" s="139"/>
      <c r="D20" s="140"/>
      <c r="E20" s="139"/>
      <c r="F20" s="139"/>
      <c r="G20" s="140"/>
      <c r="H20" s="139"/>
      <c r="I20" s="141"/>
      <c r="J20" s="142"/>
      <c r="K20" s="143"/>
      <c r="L20" s="105"/>
      <c r="M20" s="105"/>
    </row>
    <row r="21" spans="1:19" s="106" customFormat="1">
      <c r="B21" s="138" t="s">
        <v>34</v>
      </c>
      <c r="C21" s="139"/>
      <c r="D21" s="140"/>
      <c r="E21" s="139"/>
      <c r="F21" s="139"/>
      <c r="G21" s="140"/>
      <c r="H21" s="139"/>
      <c r="I21" s="141"/>
      <c r="J21" s="142"/>
      <c r="K21" s="143"/>
      <c r="L21" s="105"/>
      <c r="M21" s="105"/>
    </row>
    <row r="22" spans="1:19" s="106" customFormat="1">
      <c r="B22" s="138" t="s">
        <v>35</v>
      </c>
      <c r="C22" s="139"/>
      <c r="D22" s="140"/>
      <c r="E22" s="139"/>
      <c r="F22" s="139"/>
      <c r="G22" s="140"/>
      <c r="H22" s="139"/>
      <c r="I22" s="141"/>
      <c r="J22" s="142"/>
      <c r="K22" s="143"/>
      <c r="L22" s="105"/>
      <c r="M22" s="105"/>
    </row>
    <row r="23" spans="1:19" s="106" customFormat="1">
      <c r="B23" s="138" t="s">
        <v>36</v>
      </c>
      <c r="C23" s="139"/>
      <c r="D23" s="140"/>
      <c r="E23" s="139">
        <f>E166+E298+E414+E529+E672+E792+E867+E942+E1043</f>
        <v>37.278999999999996</v>
      </c>
      <c r="F23" s="139"/>
      <c r="G23" s="140"/>
      <c r="H23" s="139">
        <f>H166+H298+H414+H529+H672+H792+H867+H942+H1043</f>
        <v>59.386499999999998</v>
      </c>
      <c r="I23" s="141">
        <f t="shared" si="1"/>
        <v>22.107500000000002</v>
      </c>
      <c r="J23" s="142">
        <f t="shared" si="0"/>
        <v>37.226474030293083</v>
      </c>
      <c r="K23" s="143"/>
      <c r="L23" s="105"/>
      <c r="M23" s="105"/>
    </row>
    <row r="24" spans="1:19" s="62" customFormat="1">
      <c r="A24" s="1"/>
      <c r="B24" s="150" t="s">
        <v>66</v>
      </c>
      <c r="C24" s="151"/>
      <c r="D24" s="152"/>
      <c r="E24" s="151">
        <f>+E25</f>
        <v>1512.7727</v>
      </c>
      <c r="F24" s="151"/>
      <c r="G24" s="152"/>
      <c r="H24" s="151">
        <f>+H25</f>
        <v>2524.5871200000001</v>
      </c>
      <c r="I24" s="153">
        <f>+H24-E24</f>
        <v>1011.8144200000002</v>
      </c>
      <c r="J24" s="154">
        <f t="shared" si="0"/>
        <v>40.078411712723941</v>
      </c>
      <c r="K24" s="155"/>
      <c r="N24" s="1"/>
      <c r="O24" s="1"/>
      <c r="P24" s="1"/>
      <c r="Q24" s="1"/>
      <c r="R24" s="1"/>
      <c r="S24" s="1"/>
    </row>
    <row r="25" spans="1:19" s="62" customFormat="1" ht="37.5">
      <c r="A25" s="1"/>
      <c r="B25" s="156" t="s">
        <v>186</v>
      </c>
      <c r="C25" s="157"/>
      <c r="D25" s="158"/>
      <c r="E25" s="157">
        <f>+E27</f>
        <v>1512.7727</v>
      </c>
      <c r="F25" s="157"/>
      <c r="G25" s="158"/>
      <c r="H25" s="157">
        <f>+H27</f>
        <v>2524.5871200000001</v>
      </c>
      <c r="I25" s="159">
        <f t="shared" si="1"/>
        <v>1011.8144200000002</v>
      </c>
      <c r="J25" s="160">
        <f t="shared" si="0"/>
        <v>40.078411712723941</v>
      </c>
      <c r="K25" s="161"/>
      <c r="N25" s="1"/>
      <c r="O25" s="1"/>
      <c r="P25" s="1"/>
      <c r="Q25" s="1"/>
      <c r="R25" s="1"/>
      <c r="S25" s="1"/>
    </row>
    <row r="26" spans="1:19" s="62" customFormat="1">
      <c r="A26" s="1"/>
      <c r="B26" s="202" t="s">
        <v>74</v>
      </c>
      <c r="C26" s="168"/>
      <c r="D26" s="169"/>
      <c r="E26" s="168"/>
      <c r="F26" s="168"/>
      <c r="G26" s="169"/>
      <c r="H26" s="168"/>
      <c r="I26" s="141"/>
      <c r="J26" s="142"/>
      <c r="K26" s="170"/>
      <c r="N26" s="1"/>
      <c r="O26" s="1"/>
      <c r="P26" s="1"/>
      <c r="Q26" s="1"/>
      <c r="R26" s="1"/>
      <c r="S26" s="1"/>
    </row>
    <row r="27" spans="1:19" s="62" customFormat="1" ht="37.5">
      <c r="A27" s="1"/>
      <c r="B27" s="203" t="s">
        <v>83</v>
      </c>
      <c r="C27" s="204"/>
      <c r="D27" s="205"/>
      <c r="E27" s="204">
        <f>+E28+E173+E305+E427+E531+E675+E795+E873+E944</f>
        <v>1512.7727</v>
      </c>
      <c r="F27" s="204"/>
      <c r="G27" s="205"/>
      <c r="H27" s="204">
        <f>+H28+H173+H305+H427+H531+H675+H795+H873+H944</f>
        <v>2524.5871200000001</v>
      </c>
      <c r="I27" s="206">
        <f t="shared" si="1"/>
        <v>1011.8144200000002</v>
      </c>
      <c r="J27" s="207">
        <f t="shared" si="0"/>
        <v>40.078411712723941</v>
      </c>
      <c r="K27" s="208"/>
      <c r="N27" s="1"/>
      <c r="O27" s="1"/>
      <c r="P27" s="1"/>
      <c r="Q27" s="1"/>
      <c r="R27" s="1"/>
      <c r="S27" s="1"/>
    </row>
    <row r="28" spans="1:19" s="62" customFormat="1" ht="27.75" customHeight="1">
      <c r="A28" s="16"/>
      <c r="B28" s="209" t="s">
        <v>125</v>
      </c>
      <c r="C28" s="210"/>
      <c r="D28" s="211"/>
      <c r="E28" s="210">
        <f>+E30+E138+E161+E166</f>
        <v>51.976699999999994</v>
      </c>
      <c r="F28" s="210"/>
      <c r="G28" s="211"/>
      <c r="H28" s="210">
        <f>+H30+H138+H161+H166</f>
        <v>75.138099999999994</v>
      </c>
      <c r="I28" s="212">
        <f t="shared" si="1"/>
        <v>23.1614</v>
      </c>
      <c r="J28" s="213">
        <f t="shared" si="0"/>
        <v>30.825107368964613</v>
      </c>
      <c r="K28" s="214"/>
      <c r="N28" s="1"/>
      <c r="O28" s="1"/>
      <c r="P28" s="1"/>
      <c r="Q28" s="1"/>
      <c r="R28" s="1"/>
      <c r="S28" s="1"/>
    </row>
    <row r="29" spans="1:19" s="105" customFormat="1" ht="27.75" customHeight="1">
      <c r="A29" s="106"/>
      <c r="B29" s="245" t="s">
        <v>94</v>
      </c>
      <c r="C29" s="139"/>
      <c r="D29" s="140"/>
      <c r="E29" s="139"/>
      <c r="F29" s="139"/>
      <c r="G29" s="140"/>
      <c r="H29" s="139"/>
      <c r="I29" s="141"/>
      <c r="J29" s="142"/>
      <c r="K29" s="143"/>
      <c r="L29" s="246"/>
      <c r="N29" s="106"/>
      <c r="O29" s="106"/>
      <c r="P29" s="106"/>
      <c r="Q29" s="106"/>
      <c r="R29" s="106"/>
      <c r="S29" s="106"/>
    </row>
    <row r="30" spans="1:19" s="62" customFormat="1">
      <c r="A30" s="1"/>
      <c r="B30" s="177" t="s">
        <v>38</v>
      </c>
      <c r="C30" s="121"/>
      <c r="D30" s="122"/>
      <c r="E30" s="121">
        <f>+E31+E131</f>
        <v>51.499699999999997</v>
      </c>
      <c r="F30" s="121"/>
      <c r="G30" s="122"/>
      <c r="H30" s="121">
        <f>+H31+H131</f>
        <v>65.482900000000001</v>
      </c>
      <c r="I30" s="123">
        <f t="shared" si="1"/>
        <v>13.983200000000004</v>
      </c>
      <c r="J30" s="124">
        <f t="shared" si="0"/>
        <v>21.353971800271527</v>
      </c>
      <c r="K30" s="125"/>
      <c r="N30" s="1"/>
      <c r="O30" s="1"/>
      <c r="P30" s="1"/>
      <c r="Q30" s="1"/>
      <c r="R30" s="1"/>
      <c r="S30" s="1"/>
    </row>
    <row r="31" spans="1:19" s="62" customFormat="1">
      <c r="A31" s="1"/>
      <c r="B31" s="179" t="s">
        <v>41</v>
      </c>
      <c r="C31" s="180"/>
      <c r="D31" s="181"/>
      <c r="E31" s="180">
        <f>+E32+E53+E118</f>
        <v>44.713799999999999</v>
      </c>
      <c r="F31" s="180"/>
      <c r="G31" s="181"/>
      <c r="H31" s="180">
        <f>+H32+H53+H118</f>
        <v>56.069200000000002</v>
      </c>
      <c r="I31" s="182">
        <f t="shared" si="1"/>
        <v>11.355400000000003</v>
      </c>
      <c r="J31" s="183">
        <f t="shared" si="0"/>
        <v>20.252473728892163</v>
      </c>
      <c r="K31" s="184"/>
      <c r="N31" s="1"/>
      <c r="O31" s="1"/>
      <c r="P31" s="1"/>
      <c r="Q31" s="1"/>
      <c r="R31" s="1"/>
      <c r="S31" s="1"/>
    </row>
    <row r="32" spans="1:19" s="62" customFormat="1">
      <c r="A32" s="1"/>
      <c r="B32" s="216" t="s">
        <v>42</v>
      </c>
      <c r="C32" s="133"/>
      <c r="D32" s="134"/>
      <c r="E32" s="133">
        <f>SUM(E33:E52)</f>
        <v>7.0358999999999998</v>
      </c>
      <c r="F32" s="133"/>
      <c r="G32" s="134"/>
      <c r="H32" s="133">
        <f>SUM(H33:H52)</f>
        <v>5.8907000000000007</v>
      </c>
      <c r="I32" s="135">
        <f t="shared" si="1"/>
        <v>-1.1451999999999991</v>
      </c>
      <c r="J32" s="136">
        <f t="shared" si="0"/>
        <v>-19.440813485663824</v>
      </c>
      <c r="K32" s="137"/>
      <c r="N32" s="1"/>
      <c r="O32" s="1"/>
      <c r="P32" s="1"/>
      <c r="Q32" s="1"/>
      <c r="R32" s="1"/>
      <c r="S32" s="1"/>
    </row>
    <row r="33" spans="1:19" s="62" customFormat="1" ht="49.5" customHeight="1">
      <c r="A33" s="1"/>
      <c r="B33" s="171" t="s">
        <v>95</v>
      </c>
      <c r="C33" s="168"/>
      <c r="D33" s="140"/>
      <c r="E33" s="168">
        <v>2.7770000000000001</v>
      </c>
      <c r="F33" s="168"/>
      <c r="G33" s="169"/>
      <c r="H33" s="168">
        <v>0.78600000000000003</v>
      </c>
      <c r="I33" s="141">
        <f t="shared" si="1"/>
        <v>-1.9910000000000001</v>
      </c>
      <c r="J33" s="142">
        <f t="shared" si="0"/>
        <v>-253.3078880407125</v>
      </c>
      <c r="K33" s="247" t="s">
        <v>1025</v>
      </c>
      <c r="N33" s="1"/>
      <c r="O33" s="1"/>
      <c r="P33" s="1"/>
      <c r="Q33" s="1"/>
      <c r="R33" s="1"/>
      <c r="S33" s="1"/>
    </row>
    <row r="34" spans="1:19" s="62" customFormat="1" ht="56.25">
      <c r="A34" s="1"/>
      <c r="B34" s="171"/>
      <c r="C34" s="168"/>
      <c r="D34" s="140"/>
      <c r="E34" s="168"/>
      <c r="F34" s="168"/>
      <c r="G34" s="169"/>
      <c r="H34" s="168"/>
      <c r="I34" s="141"/>
      <c r="J34" s="142"/>
      <c r="K34" s="167" t="s">
        <v>1026</v>
      </c>
      <c r="N34" s="1"/>
      <c r="O34" s="1"/>
      <c r="P34" s="1"/>
      <c r="Q34" s="1"/>
      <c r="R34" s="1"/>
      <c r="S34" s="1"/>
    </row>
    <row r="35" spans="1:19" s="62" customFormat="1" ht="75">
      <c r="A35" s="1"/>
      <c r="B35" s="171" t="s">
        <v>272</v>
      </c>
      <c r="C35" s="168"/>
      <c r="D35" s="140"/>
      <c r="E35" s="168">
        <v>0.96350000000000002</v>
      </c>
      <c r="F35" s="168"/>
      <c r="G35" s="169"/>
      <c r="H35" s="168">
        <v>0.156</v>
      </c>
      <c r="I35" s="141">
        <f t="shared" si="1"/>
        <v>-0.8075</v>
      </c>
      <c r="J35" s="142">
        <f t="shared" si="0"/>
        <v>-517.62820512820508</v>
      </c>
      <c r="K35" s="167" t="s">
        <v>1027</v>
      </c>
      <c r="N35" s="1"/>
      <c r="O35" s="1"/>
      <c r="P35" s="1"/>
      <c r="Q35" s="1"/>
      <c r="R35" s="1"/>
      <c r="S35" s="1"/>
    </row>
    <row r="36" spans="1:19" s="62" customFormat="1" ht="37.5">
      <c r="A36" s="1"/>
      <c r="B36" s="171"/>
      <c r="C36" s="168"/>
      <c r="D36" s="140"/>
      <c r="E36" s="168"/>
      <c r="F36" s="168"/>
      <c r="G36" s="169"/>
      <c r="H36" s="168"/>
      <c r="I36" s="141"/>
      <c r="J36" s="142"/>
      <c r="K36" s="167" t="s">
        <v>289</v>
      </c>
      <c r="N36" s="1"/>
      <c r="O36" s="1"/>
      <c r="P36" s="1"/>
      <c r="Q36" s="1"/>
      <c r="R36" s="1"/>
      <c r="S36" s="1"/>
    </row>
    <row r="37" spans="1:19" s="62" customFormat="1">
      <c r="A37" s="1"/>
      <c r="B37" s="171"/>
      <c r="C37" s="168"/>
      <c r="D37" s="140"/>
      <c r="E37" s="168"/>
      <c r="F37" s="168"/>
      <c r="G37" s="169"/>
      <c r="H37" s="168"/>
      <c r="I37" s="141"/>
      <c r="J37" s="142"/>
      <c r="K37" s="170" t="s">
        <v>290</v>
      </c>
      <c r="N37" s="1"/>
      <c r="O37" s="1"/>
      <c r="P37" s="1"/>
      <c r="Q37" s="1"/>
      <c r="R37" s="1"/>
      <c r="S37" s="1"/>
    </row>
    <row r="38" spans="1:19" s="62" customFormat="1" ht="75">
      <c r="A38" s="1"/>
      <c r="B38" s="171" t="s">
        <v>275</v>
      </c>
      <c r="C38" s="168"/>
      <c r="D38" s="140"/>
      <c r="E38" s="168">
        <v>1.6693</v>
      </c>
      <c r="F38" s="168"/>
      <c r="G38" s="169"/>
      <c r="H38" s="168">
        <v>1.4904999999999999</v>
      </c>
      <c r="I38" s="141">
        <f t="shared" si="1"/>
        <v>-0.17880000000000007</v>
      </c>
      <c r="J38" s="142">
        <f t="shared" si="0"/>
        <v>-11.995974505199602</v>
      </c>
      <c r="K38" s="167" t="s">
        <v>1028</v>
      </c>
      <c r="N38" s="1"/>
      <c r="O38" s="1"/>
      <c r="P38" s="1"/>
      <c r="Q38" s="1"/>
      <c r="R38" s="1"/>
      <c r="S38" s="1"/>
    </row>
    <row r="39" spans="1:19" s="62" customFormat="1" ht="56.25">
      <c r="A39" s="1"/>
      <c r="B39" s="171"/>
      <c r="C39" s="168"/>
      <c r="D39" s="140"/>
      <c r="E39" s="168"/>
      <c r="F39" s="168"/>
      <c r="G39" s="169"/>
      <c r="H39" s="168"/>
      <c r="I39" s="141"/>
      <c r="J39" s="142"/>
      <c r="K39" s="217" t="s">
        <v>291</v>
      </c>
      <c r="N39" s="1"/>
      <c r="O39" s="1"/>
      <c r="P39" s="1"/>
      <c r="Q39" s="1"/>
      <c r="R39" s="1"/>
      <c r="S39" s="1"/>
    </row>
    <row r="40" spans="1:19" s="62" customFormat="1" ht="56.25">
      <c r="A40" s="1"/>
      <c r="B40" s="171"/>
      <c r="C40" s="168"/>
      <c r="D40" s="140"/>
      <c r="E40" s="168"/>
      <c r="F40" s="168"/>
      <c r="G40" s="169"/>
      <c r="H40" s="168"/>
      <c r="I40" s="141"/>
      <c r="J40" s="142"/>
      <c r="K40" s="217" t="s">
        <v>292</v>
      </c>
      <c r="N40" s="1"/>
      <c r="O40" s="1"/>
      <c r="P40" s="1"/>
      <c r="Q40" s="1"/>
      <c r="R40" s="1"/>
      <c r="S40" s="1"/>
    </row>
    <row r="41" spans="1:19" s="62" customFormat="1" ht="37.5">
      <c r="A41" s="1"/>
      <c r="B41" s="171"/>
      <c r="C41" s="168"/>
      <c r="D41" s="140"/>
      <c r="E41" s="168"/>
      <c r="F41" s="168"/>
      <c r="G41" s="169"/>
      <c r="H41" s="168"/>
      <c r="I41" s="141"/>
      <c r="J41" s="142"/>
      <c r="K41" s="217" t="s">
        <v>293</v>
      </c>
      <c r="N41" s="1"/>
      <c r="O41" s="1"/>
      <c r="P41" s="1"/>
      <c r="Q41" s="1"/>
      <c r="R41" s="1"/>
      <c r="S41" s="1"/>
    </row>
    <row r="42" spans="1:19" s="62" customFormat="1" ht="37.5">
      <c r="A42" s="1"/>
      <c r="B42" s="171"/>
      <c r="C42" s="168"/>
      <c r="D42" s="140"/>
      <c r="E42" s="168"/>
      <c r="F42" s="168"/>
      <c r="G42" s="169"/>
      <c r="H42" s="168"/>
      <c r="I42" s="141"/>
      <c r="J42" s="142"/>
      <c r="K42" s="167" t="s">
        <v>299</v>
      </c>
      <c r="N42" s="1"/>
      <c r="O42" s="1"/>
      <c r="P42" s="1"/>
      <c r="Q42" s="1"/>
      <c r="R42" s="1"/>
      <c r="S42" s="1"/>
    </row>
    <row r="43" spans="1:19" s="62" customFormat="1">
      <c r="A43" s="1"/>
      <c r="B43" s="171"/>
      <c r="C43" s="168"/>
      <c r="D43" s="140"/>
      <c r="E43" s="168"/>
      <c r="F43" s="168"/>
      <c r="G43" s="169"/>
      <c r="H43" s="168"/>
      <c r="I43" s="141"/>
      <c r="J43" s="142"/>
      <c r="K43" s="170" t="s">
        <v>300</v>
      </c>
      <c r="N43" s="1"/>
      <c r="O43" s="1"/>
      <c r="P43" s="1"/>
      <c r="Q43" s="1"/>
      <c r="R43" s="1"/>
      <c r="S43" s="1"/>
    </row>
    <row r="44" spans="1:19" s="62" customFormat="1" ht="56.25">
      <c r="A44" s="1"/>
      <c r="B44" s="171" t="s">
        <v>96</v>
      </c>
      <c r="C44" s="168"/>
      <c r="D44" s="140"/>
      <c r="E44" s="168">
        <v>1.0165</v>
      </c>
      <c r="F44" s="168"/>
      <c r="G44" s="169"/>
      <c r="H44" s="168">
        <f>1.0905+2-0.2419</f>
        <v>2.8486000000000002</v>
      </c>
      <c r="I44" s="141">
        <f t="shared" si="1"/>
        <v>1.8321000000000003</v>
      </c>
      <c r="J44" s="142">
        <f t="shared" si="0"/>
        <v>64.315804254721627</v>
      </c>
      <c r="K44" s="167" t="s">
        <v>273</v>
      </c>
      <c r="N44" s="1"/>
      <c r="O44" s="1"/>
      <c r="P44" s="1"/>
      <c r="Q44" s="1"/>
      <c r="R44" s="1"/>
      <c r="S44" s="1"/>
    </row>
    <row r="45" spans="1:19" s="62" customFormat="1">
      <c r="A45" s="1"/>
      <c r="B45" s="171"/>
      <c r="C45" s="168"/>
      <c r="D45" s="140"/>
      <c r="E45" s="168"/>
      <c r="F45" s="168"/>
      <c r="G45" s="169"/>
      <c r="H45" s="168"/>
      <c r="I45" s="141"/>
      <c r="J45" s="142"/>
      <c r="K45" s="218" t="s">
        <v>274</v>
      </c>
      <c r="N45" s="1"/>
      <c r="O45" s="1"/>
      <c r="P45" s="1"/>
      <c r="Q45" s="1"/>
      <c r="R45" s="1"/>
      <c r="S45" s="1"/>
    </row>
    <row r="46" spans="1:19" s="62" customFormat="1">
      <c r="A46" s="1"/>
      <c r="B46" s="171"/>
      <c r="C46" s="168"/>
      <c r="D46" s="140"/>
      <c r="E46" s="168"/>
      <c r="F46" s="168"/>
      <c r="G46" s="169"/>
      <c r="H46" s="168"/>
      <c r="I46" s="141"/>
      <c r="J46" s="142"/>
      <c r="K46" s="218" t="s">
        <v>301</v>
      </c>
      <c r="N46" s="1"/>
      <c r="O46" s="1"/>
      <c r="P46" s="1"/>
      <c r="Q46" s="1"/>
      <c r="R46" s="1"/>
      <c r="S46" s="1"/>
    </row>
    <row r="47" spans="1:19" s="62" customFormat="1">
      <c r="A47" s="1"/>
      <c r="B47" s="171"/>
      <c r="C47" s="168"/>
      <c r="D47" s="140"/>
      <c r="E47" s="168"/>
      <c r="F47" s="168"/>
      <c r="G47" s="169"/>
      <c r="H47" s="168"/>
      <c r="I47" s="141"/>
      <c r="J47" s="142"/>
      <c r="K47" s="218" t="s">
        <v>302</v>
      </c>
      <c r="N47" s="1"/>
      <c r="O47" s="1"/>
      <c r="P47" s="1"/>
      <c r="Q47" s="1"/>
      <c r="R47" s="1"/>
      <c r="S47" s="1"/>
    </row>
    <row r="48" spans="1:19" s="62" customFormat="1">
      <c r="A48" s="1"/>
      <c r="B48" s="171"/>
      <c r="C48" s="168"/>
      <c r="D48" s="140"/>
      <c r="E48" s="168"/>
      <c r="F48" s="168"/>
      <c r="G48" s="169"/>
      <c r="H48" s="168"/>
      <c r="I48" s="141"/>
      <c r="J48" s="142"/>
      <c r="K48" s="218" t="s">
        <v>303</v>
      </c>
      <c r="N48" s="1"/>
      <c r="O48" s="1"/>
      <c r="P48" s="1"/>
      <c r="Q48" s="1"/>
      <c r="R48" s="1"/>
      <c r="S48" s="1"/>
    </row>
    <row r="49" spans="1:19" s="62" customFormat="1" ht="37.5">
      <c r="A49" s="1"/>
      <c r="B49" s="171"/>
      <c r="C49" s="168"/>
      <c r="D49" s="140"/>
      <c r="E49" s="168"/>
      <c r="F49" s="168"/>
      <c r="G49" s="169"/>
      <c r="H49" s="168"/>
      <c r="I49" s="141"/>
      <c r="J49" s="142"/>
      <c r="K49" s="217" t="s">
        <v>305</v>
      </c>
      <c r="N49" s="1"/>
      <c r="O49" s="1"/>
      <c r="P49" s="1"/>
      <c r="Q49" s="1"/>
      <c r="R49" s="1"/>
      <c r="S49" s="1"/>
    </row>
    <row r="50" spans="1:19" s="62" customFormat="1">
      <c r="A50" s="1"/>
      <c r="B50" s="171"/>
      <c r="C50" s="168"/>
      <c r="D50" s="140"/>
      <c r="E50" s="168"/>
      <c r="F50" s="168"/>
      <c r="G50" s="169"/>
      <c r="H50" s="168"/>
      <c r="I50" s="141"/>
      <c r="J50" s="142"/>
      <c r="K50" s="218" t="s">
        <v>304</v>
      </c>
      <c r="N50" s="1"/>
      <c r="O50" s="1"/>
      <c r="P50" s="1"/>
      <c r="Q50" s="1"/>
      <c r="R50" s="1"/>
      <c r="S50" s="1"/>
    </row>
    <row r="51" spans="1:19" s="62" customFormat="1">
      <c r="A51" s="1"/>
      <c r="B51" s="171"/>
      <c r="C51" s="168"/>
      <c r="D51" s="140"/>
      <c r="E51" s="168"/>
      <c r="F51" s="168"/>
      <c r="G51" s="169"/>
      <c r="H51" s="168"/>
      <c r="I51" s="141"/>
      <c r="J51" s="142"/>
      <c r="K51" s="170" t="s">
        <v>402</v>
      </c>
      <c r="N51" s="1"/>
      <c r="O51" s="1"/>
      <c r="P51" s="1"/>
      <c r="Q51" s="1"/>
      <c r="R51" s="1"/>
      <c r="S51" s="1"/>
    </row>
    <row r="52" spans="1:19" s="62" customFormat="1" ht="37.5">
      <c r="A52" s="1"/>
      <c r="B52" s="171" t="s">
        <v>97</v>
      </c>
      <c r="C52" s="168"/>
      <c r="D52" s="140"/>
      <c r="E52" s="168">
        <v>0.60960000000000003</v>
      </c>
      <c r="F52" s="168"/>
      <c r="G52" s="169"/>
      <c r="H52" s="168">
        <v>0.60960000000000003</v>
      </c>
      <c r="I52" s="141">
        <f t="shared" ref="I52:I105" si="2">+H52-E52</f>
        <v>0</v>
      </c>
      <c r="J52" s="142">
        <f t="shared" ref="J52:J105" si="3">+I52*100/H52</f>
        <v>0</v>
      </c>
      <c r="K52" s="170" t="s">
        <v>264</v>
      </c>
      <c r="N52" s="1"/>
      <c r="O52" s="1"/>
      <c r="P52" s="1"/>
      <c r="Q52" s="1"/>
      <c r="R52" s="1"/>
      <c r="S52" s="1"/>
    </row>
    <row r="53" spans="1:19" s="62" customFormat="1">
      <c r="A53" s="1"/>
      <c r="B53" s="216" t="s">
        <v>43</v>
      </c>
      <c r="C53" s="133"/>
      <c r="D53" s="134"/>
      <c r="E53" s="133">
        <f>SUM(E55:E105)</f>
        <v>34.157299999999999</v>
      </c>
      <c r="F53" s="133"/>
      <c r="G53" s="134"/>
      <c r="H53" s="133">
        <f>SUM(H55:H105)</f>
        <v>46.857700000000001</v>
      </c>
      <c r="I53" s="135">
        <f t="shared" si="2"/>
        <v>12.700400000000002</v>
      </c>
      <c r="J53" s="136">
        <f t="shared" si="3"/>
        <v>27.104189919693031</v>
      </c>
      <c r="K53" s="137"/>
      <c r="N53" s="1"/>
      <c r="O53" s="1"/>
      <c r="P53" s="1"/>
      <c r="Q53" s="1"/>
      <c r="R53" s="1"/>
      <c r="S53" s="1"/>
    </row>
    <row r="54" spans="1:19">
      <c r="B54" s="167" t="s">
        <v>19</v>
      </c>
      <c r="C54" s="168"/>
      <c r="D54" s="140"/>
      <c r="E54" s="168"/>
      <c r="F54" s="168"/>
      <c r="G54" s="169"/>
      <c r="H54" s="168"/>
      <c r="I54" s="141"/>
      <c r="J54" s="142"/>
      <c r="K54" s="170"/>
    </row>
    <row r="55" spans="1:19">
      <c r="B55" s="171" t="s">
        <v>85</v>
      </c>
      <c r="C55" s="168"/>
      <c r="D55" s="140"/>
      <c r="E55" s="168">
        <f>0.6351+1.294+0.454</f>
        <v>2.3831000000000002</v>
      </c>
      <c r="F55" s="168"/>
      <c r="G55" s="169"/>
      <c r="H55" s="168">
        <f>4.1472+2</f>
        <v>6.1471999999999998</v>
      </c>
      <c r="I55" s="141">
        <f t="shared" si="2"/>
        <v>3.7640999999999996</v>
      </c>
      <c r="J55" s="142">
        <f t="shared" si="3"/>
        <v>61.232756376887032</v>
      </c>
      <c r="K55" s="170" t="s">
        <v>280</v>
      </c>
    </row>
    <row r="56" spans="1:19">
      <c r="B56" s="171"/>
      <c r="C56" s="168"/>
      <c r="D56" s="140"/>
      <c r="E56" s="168"/>
      <c r="F56" s="168"/>
      <c r="G56" s="169"/>
      <c r="H56" s="168"/>
      <c r="I56" s="141"/>
      <c r="J56" s="142"/>
      <c r="K56" s="218" t="s">
        <v>281</v>
      </c>
    </row>
    <row r="57" spans="1:19">
      <c r="B57" s="171"/>
      <c r="C57" s="168"/>
      <c r="D57" s="140"/>
      <c r="E57" s="168"/>
      <c r="F57" s="168"/>
      <c r="G57" s="169"/>
      <c r="H57" s="168"/>
      <c r="I57" s="141"/>
      <c r="J57" s="142"/>
      <c r="K57" s="170" t="s">
        <v>306</v>
      </c>
    </row>
    <row r="58" spans="1:19" ht="37.5">
      <c r="B58" s="171"/>
      <c r="C58" s="168"/>
      <c r="D58" s="140"/>
      <c r="E58" s="168"/>
      <c r="F58" s="168"/>
      <c r="G58" s="169"/>
      <c r="H58" s="168"/>
      <c r="I58" s="141"/>
      <c r="J58" s="142"/>
      <c r="K58" s="167" t="s">
        <v>307</v>
      </c>
    </row>
    <row r="59" spans="1:19">
      <c r="B59" s="171"/>
      <c r="C59" s="168"/>
      <c r="D59" s="140"/>
      <c r="E59" s="168"/>
      <c r="F59" s="168"/>
      <c r="G59" s="169"/>
      <c r="H59" s="168"/>
      <c r="I59" s="141"/>
      <c r="J59" s="142"/>
      <c r="K59" s="170" t="s">
        <v>308</v>
      </c>
    </row>
    <row r="60" spans="1:19">
      <c r="B60" s="171"/>
      <c r="C60" s="168"/>
      <c r="D60" s="140"/>
      <c r="E60" s="168"/>
      <c r="F60" s="168"/>
      <c r="G60" s="169"/>
      <c r="H60" s="168"/>
      <c r="I60" s="141"/>
      <c r="J60" s="142"/>
      <c r="K60" s="170" t="s">
        <v>309</v>
      </c>
    </row>
    <row r="61" spans="1:19" ht="37.5">
      <c r="B61" s="171"/>
      <c r="C61" s="168"/>
      <c r="D61" s="140"/>
      <c r="E61" s="168"/>
      <c r="F61" s="168"/>
      <c r="G61" s="169"/>
      <c r="H61" s="168"/>
      <c r="I61" s="141"/>
      <c r="J61" s="142"/>
      <c r="K61" s="167" t="s">
        <v>310</v>
      </c>
    </row>
    <row r="62" spans="1:19">
      <c r="B62" s="171"/>
      <c r="C62" s="168"/>
      <c r="D62" s="140"/>
      <c r="E62" s="168"/>
      <c r="F62" s="168"/>
      <c r="G62" s="169"/>
      <c r="H62" s="168"/>
      <c r="I62" s="141"/>
      <c r="J62" s="142"/>
      <c r="K62" s="167" t="s">
        <v>401</v>
      </c>
    </row>
    <row r="63" spans="1:19" ht="56.25">
      <c r="B63" s="171" t="s">
        <v>98</v>
      </c>
      <c r="C63" s="168"/>
      <c r="D63" s="140"/>
      <c r="E63" s="168">
        <v>0.3</v>
      </c>
      <c r="F63" s="168"/>
      <c r="G63" s="169"/>
      <c r="H63" s="168">
        <v>0.33</v>
      </c>
      <c r="I63" s="141">
        <f t="shared" si="2"/>
        <v>3.0000000000000027E-2</v>
      </c>
      <c r="J63" s="142">
        <f t="shared" si="3"/>
        <v>9.0909090909090988</v>
      </c>
      <c r="K63" s="167" t="s">
        <v>311</v>
      </c>
    </row>
    <row r="64" spans="1:19" ht="37.5">
      <c r="B64" s="171" t="s">
        <v>99</v>
      </c>
      <c r="C64" s="168"/>
      <c r="D64" s="140"/>
      <c r="E64" s="168">
        <v>0.25</v>
      </c>
      <c r="F64" s="168"/>
      <c r="G64" s="169"/>
      <c r="H64" s="168">
        <f>+ 0.27+0.1</f>
        <v>0.37</v>
      </c>
      <c r="I64" s="141">
        <f t="shared" si="2"/>
        <v>0.12</v>
      </c>
      <c r="J64" s="142">
        <f t="shared" si="3"/>
        <v>32.432432432432435</v>
      </c>
      <c r="K64" s="167" t="s">
        <v>350</v>
      </c>
    </row>
    <row r="65" spans="1:19" ht="37.5">
      <c r="B65" s="171" t="s">
        <v>100</v>
      </c>
      <c r="C65" s="168"/>
      <c r="D65" s="140"/>
      <c r="E65" s="168">
        <v>0.3</v>
      </c>
      <c r="F65" s="168"/>
      <c r="G65" s="169"/>
      <c r="H65" s="168">
        <v>0.33</v>
      </c>
      <c r="I65" s="141">
        <f t="shared" si="2"/>
        <v>3.0000000000000027E-2</v>
      </c>
      <c r="J65" s="142">
        <f t="shared" si="3"/>
        <v>9.0909090909090988</v>
      </c>
      <c r="K65" s="167" t="s">
        <v>312</v>
      </c>
    </row>
    <row r="66" spans="1:19" ht="37.5">
      <c r="B66" s="171" t="s">
        <v>101</v>
      </c>
      <c r="C66" s="168"/>
      <c r="D66" s="140"/>
      <c r="E66" s="168">
        <v>6.9073000000000002</v>
      </c>
      <c r="F66" s="168"/>
      <c r="G66" s="169"/>
      <c r="H66" s="168">
        <v>7.5979999999999999</v>
      </c>
      <c r="I66" s="141">
        <f t="shared" si="2"/>
        <v>0.69069999999999965</v>
      </c>
      <c r="J66" s="142">
        <f t="shared" si="3"/>
        <v>9.0905501447749355</v>
      </c>
      <c r="K66" s="219" t="s">
        <v>400</v>
      </c>
      <c r="N66" s="61"/>
    </row>
    <row r="67" spans="1:19" ht="21.75" customHeight="1">
      <c r="B67" s="171" t="s">
        <v>102</v>
      </c>
      <c r="C67" s="168"/>
      <c r="D67" s="140"/>
      <c r="E67" s="168">
        <f>1.7+1.5+0.1+0.03+1.5+7.737+0.9484+2.0365+1.2+0.03</f>
        <v>16.7819</v>
      </c>
      <c r="F67" s="168"/>
      <c r="G67" s="169"/>
      <c r="H67" s="168">
        <v>12.6442</v>
      </c>
      <c r="I67" s="141">
        <f t="shared" si="2"/>
        <v>-4.1377000000000006</v>
      </c>
      <c r="J67" s="142">
        <f t="shared" si="3"/>
        <v>-32.724094841903799</v>
      </c>
      <c r="K67" s="170" t="s">
        <v>276</v>
      </c>
      <c r="L67" s="62">
        <f>SUM(L68:L87)</f>
        <v>12644200</v>
      </c>
    </row>
    <row r="68" spans="1:19" ht="93.75">
      <c r="B68" s="171" t="s">
        <v>313</v>
      </c>
      <c r="C68" s="168"/>
      <c r="D68" s="140"/>
      <c r="E68" s="168"/>
      <c r="F68" s="168"/>
      <c r="G68" s="169"/>
      <c r="H68" s="168"/>
      <c r="I68" s="141"/>
      <c r="J68" s="142"/>
      <c r="K68" s="167" t="s">
        <v>321</v>
      </c>
      <c r="L68" s="62">
        <v>2000000</v>
      </c>
    </row>
    <row r="69" spans="1:19" ht="56.25">
      <c r="B69" s="171" t="s">
        <v>314</v>
      </c>
      <c r="C69" s="168"/>
      <c r="D69" s="140"/>
      <c r="E69" s="168"/>
      <c r="F69" s="168"/>
      <c r="G69" s="169"/>
      <c r="H69" s="168"/>
      <c r="I69" s="141"/>
      <c r="J69" s="142"/>
      <c r="K69" s="167" t="s">
        <v>322</v>
      </c>
      <c r="L69" s="62">
        <v>2000000</v>
      </c>
    </row>
    <row r="70" spans="1:19" s="62" customFormat="1" ht="75">
      <c r="A70" s="1"/>
      <c r="B70" s="171" t="s">
        <v>315</v>
      </c>
      <c r="C70" s="168"/>
      <c r="D70" s="140"/>
      <c r="E70" s="168"/>
      <c r="F70" s="168"/>
      <c r="G70" s="169"/>
      <c r="H70" s="168"/>
      <c r="I70" s="141"/>
      <c r="J70" s="142"/>
      <c r="K70" s="167" t="s">
        <v>324</v>
      </c>
      <c r="L70" s="62">
        <v>35000</v>
      </c>
      <c r="N70" s="1"/>
      <c r="O70" s="1"/>
      <c r="P70" s="1"/>
      <c r="Q70" s="1"/>
      <c r="R70" s="1"/>
      <c r="S70" s="1"/>
    </row>
    <row r="71" spans="1:19" s="62" customFormat="1" ht="37.5">
      <c r="A71" s="1"/>
      <c r="B71" s="171" t="s">
        <v>323</v>
      </c>
      <c r="C71" s="168"/>
      <c r="D71" s="140"/>
      <c r="E71" s="168"/>
      <c r="F71" s="168"/>
      <c r="G71" s="169"/>
      <c r="H71" s="168"/>
      <c r="I71" s="141"/>
      <c r="J71" s="142"/>
      <c r="K71" s="167" t="s">
        <v>325</v>
      </c>
      <c r="L71" s="62">
        <v>30000</v>
      </c>
      <c r="N71" s="1"/>
      <c r="O71" s="1"/>
      <c r="P71" s="1"/>
      <c r="Q71" s="1"/>
      <c r="R71" s="1"/>
      <c r="S71" s="1"/>
    </row>
    <row r="72" spans="1:19" s="62" customFormat="1">
      <c r="A72" s="1"/>
      <c r="B72" s="171" t="s">
        <v>316</v>
      </c>
      <c r="C72" s="168"/>
      <c r="D72" s="140"/>
      <c r="E72" s="168"/>
      <c r="F72" s="168"/>
      <c r="G72" s="169"/>
      <c r="H72" s="168"/>
      <c r="I72" s="141"/>
      <c r="J72" s="142"/>
      <c r="K72" s="170" t="s">
        <v>326</v>
      </c>
      <c r="L72" s="62">
        <v>20000</v>
      </c>
      <c r="N72" s="1"/>
      <c r="O72" s="1"/>
      <c r="P72" s="1"/>
      <c r="Q72" s="1"/>
      <c r="R72" s="1"/>
      <c r="S72" s="1"/>
    </row>
    <row r="73" spans="1:19" s="62" customFormat="1" ht="37.5">
      <c r="A73" s="1"/>
      <c r="B73" s="171" t="s">
        <v>317</v>
      </c>
      <c r="C73" s="168"/>
      <c r="D73" s="140"/>
      <c r="E73" s="168"/>
      <c r="F73" s="168"/>
      <c r="G73" s="169"/>
      <c r="H73" s="168"/>
      <c r="I73" s="141"/>
      <c r="J73" s="142"/>
      <c r="K73" s="167" t="s">
        <v>327</v>
      </c>
      <c r="L73" s="62">
        <v>100000</v>
      </c>
      <c r="N73" s="1"/>
      <c r="O73" s="1"/>
      <c r="P73" s="1"/>
      <c r="Q73" s="1"/>
      <c r="R73" s="1"/>
      <c r="S73" s="1"/>
    </row>
    <row r="74" spans="1:19" s="62" customFormat="1" ht="56.25">
      <c r="A74" s="1"/>
      <c r="B74" s="171" t="s">
        <v>318</v>
      </c>
      <c r="C74" s="168"/>
      <c r="D74" s="140"/>
      <c r="E74" s="168"/>
      <c r="F74" s="168"/>
      <c r="G74" s="169"/>
      <c r="H74" s="168"/>
      <c r="I74" s="141"/>
      <c r="J74" s="142"/>
      <c r="K74" s="167" t="s">
        <v>328</v>
      </c>
      <c r="L74" s="62">
        <v>2000000</v>
      </c>
      <c r="N74" s="1"/>
      <c r="O74" s="1"/>
      <c r="P74" s="1"/>
      <c r="Q74" s="1"/>
      <c r="R74" s="1"/>
      <c r="S74" s="1"/>
    </row>
    <row r="75" spans="1:19" s="62" customFormat="1" ht="56.25">
      <c r="A75" s="1"/>
      <c r="B75" s="171" t="s">
        <v>319</v>
      </c>
      <c r="C75" s="168"/>
      <c r="D75" s="140"/>
      <c r="E75" s="168"/>
      <c r="F75" s="168"/>
      <c r="G75" s="169"/>
      <c r="H75" s="168"/>
      <c r="I75" s="141"/>
      <c r="J75" s="142"/>
      <c r="K75" s="217" t="s">
        <v>329</v>
      </c>
      <c r="L75" s="62">
        <v>2000000</v>
      </c>
      <c r="N75" s="1"/>
      <c r="O75" s="1"/>
      <c r="P75" s="1"/>
      <c r="Q75" s="1"/>
      <c r="R75" s="1"/>
      <c r="S75" s="1"/>
    </row>
    <row r="76" spans="1:19" s="62" customFormat="1" ht="37.5">
      <c r="A76" s="1"/>
      <c r="B76" s="171" t="s">
        <v>320</v>
      </c>
      <c r="C76" s="168"/>
      <c r="D76" s="140"/>
      <c r="E76" s="168"/>
      <c r="F76" s="168"/>
      <c r="G76" s="169"/>
      <c r="H76" s="168"/>
      <c r="I76" s="141">
        <f t="shared" si="2"/>
        <v>0</v>
      </c>
      <c r="J76" s="142" t="e">
        <f t="shared" si="3"/>
        <v>#DIV/0!</v>
      </c>
      <c r="K76" s="217" t="s">
        <v>330</v>
      </c>
      <c r="L76" s="62">
        <v>180000</v>
      </c>
      <c r="N76" s="1"/>
      <c r="O76" s="1"/>
      <c r="P76" s="1"/>
      <c r="Q76" s="1"/>
      <c r="R76" s="1"/>
      <c r="S76" s="1"/>
    </row>
    <row r="77" spans="1:19" s="62" customFormat="1">
      <c r="A77" s="1"/>
      <c r="B77" s="171"/>
      <c r="C77" s="168"/>
      <c r="D77" s="140"/>
      <c r="E77" s="168"/>
      <c r="F77" s="168"/>
      <c r="G77" s="169"/>
      <c r="H77" s="168"/>
      <c r="I77" s="141">
        <f t="shared" si="2"/>
        <v>0</v>
      </c>
      <c r="J77" s="142" t="e">
        <f t="shared" si="3"/>
        <v>#DIV/0!</v>
      </c>
      <c r="K77" s="218" t="s">
        <v>277</v>
      </c>
      <c r="L77" s="62">
        <v>6600</v>
      </c>
      <c r="N77" s="1"/>
      <c r="O77" s="1"/>
      <c r="P77" s="1"/>
      <c r="Q77" s="1"/>
      <c r="R77" s="1"/>
      <c r="S77" s="1"/>
    </row>
    <row r="78" spans="1:19" s="62" customFormat="1" ht="37.5">
      <c r="A78" s="1"/>
      <c r="B78" s="171"/>
      <c r="C78" s="168"/>
      <c r="D78" s="140"/>
      <c r="E78" s="168"/>
      <c r="F78" s="168"/>
      <c r="G78" s="169"/>
      <c r="H78" s="168"/>
      <c r="I78" s="141"/>
      <c r="J78" s="142"/>
      <c r="K78" s="217" t="s">
        <v>279</v>
      </c>
      <c r="L78" s="62">
        <v>239100</v>
      </c>
      <c r="N78" s="1"/>
      <c r="O78" s="1"/>
      <c r="P78" s="1"/>
      <c r="Q78" s="1"/>
      <c r="R78" s="1"/>
      <c r="S78" s="1"/>
    </row>
    <row r="79" spans="1:19" s="62" customFormat="1" ht="56.25">
      <c r="A79" s="1"/>
      <c r="B79" s="171"/>
      <c r="C79" s="168"/>
      <c r="D79" s="140"/>
      <c r="E79" s="168"/>
      <c r="F79" s="168"/>
      <c r="G79" s="169"/>
      <c r="H79" s="168"/>
      <c r="I79" s="141"/>
      <c r="J79" s="142"/>
      <c r="K79" s="217" t="s">
        <v>344</v>
      </c>
      <c r="L79" s="62">
        <v>200000</v>
      </c>
      <c r="N79" s="1"/>
      <c r="O79" s="1"/>
      <c r="P79" s="1"/>
      <c r="Q79" s="1"/>
      <c r="R79" s="1"/>
      <c r="S79" s="1"/>
    </row>
    <row r="80" spans="1:19" s="62" customFormat="1" ht="37.5">
      <c r="A80" s="1"/>
      <c r="B80" s="171"/>
      <c r="C80" s="168"/>
      <c r="D80" s="140"/>
      <c r="E80" s="168"/>
      <c r="F80" s="168"/>
      <c r="G80" s="169"/>
      <c r="H80" s="168"/>
      <c r="I80" s="141"/>
      <c r="J80" s="142"/>
      <c r="K80" s="217" t="s">
        <v>347</v>
      </c>
      <c r="L80" s="62">
        <v>325000</v>
      </c>
      <c r="N80" s="1"/>
      <c r="O80" s="1"/>
      <c r="P80" s="1"/>
      <c r="Q80" s="1"/>
      <c r="R80" s="1"/>
      <c r="S80" s="1"/>
    </row>
    <row r="81" spans="1:19" s="62" customFormat="1" ht="37.5">
      <c r="A81" s="1"/>
      <c r="B81" s="171"/>
      <c r="C81" s="168"/>
      <c r="D81" s="140"/>
      <c r="E81" s="168"/>
      <c r="F81" s="168"/>
      <c r="G81" s="169"/>
      <c r="H81" s="168"/>
      <c r="I81" s="141"/>
      <c r="J81" s="142"/>
      <c r="K81" s="217" t="s">
        <v>348</v>
      </c>
      <c r="L81" s="62">
        <v>1312500</v>
      </c>
      <c r="N81" s="1"/>
      <c r="O81" s="1"/>
      <c r="P81" s="1"/>
      <c r="Q81" s="1"/>
      <c r="R81" s="1"/>
      <c r="S81" s="1"/>
    </row>
    <row r="82" spans="1:19" s="62" customFormat="1" ht="37.5">
      <c r="A82" s="1"/>
      <c r="B82" s="171"/>
      <c r="C82" s="168"/>
      <c r="D82" s="140"/>
      <c r="E82" s="168"/>
      <c r="F82" s="168"/>
      <c r="G82" s="169"/>
      <c r="H82" s="168"/>
      <c r="I82" s="141"/>
      <c r="J82" s="142"/>
      <c r="K82" s="217" t="s">
        <v>349</v>
      </c>
      <c r="L82" s="62">
        <v>490000</v>
      </c>
      <c r="N82" s="1"/>
      <c r="O82" s="1"/>
      <c r="P82" s="1"/>
      <c r="Q82" s="1"/>
      <c r="R82" s="1"/>
      <c r="S82" s="1"/>
    </row>
    <row r="83" spans="1:19" s="62" customFormat="1">
      <c r="A83" s="1"/>
      <c r="B83" s="171"/>
      <c r="C83" s="168"/>
      <c r="D83" s="140"/>
      <c r="E83" s="168"/>
      <c r="F83" s="168"/>
      <c r="G83" s="169"/>
      <c r="H83" s="168"/>
      <c r="I83" s="141"/>
      <c r="J83" s="142"/>
      <c r="K83" s="217" t="s">
        <v>361</v>
      </c>
      <c r="L83" s="62">
        <v>100000</v>
      </c>
      <c r="N83" s="1"/>
      <c r="O83" s="1"/>
      <c r="P83" s="1"/>
      <c r="Q83" s="1"/>
      <c r="R83" s="1"/>
      <c r="S83" s="1"/>
    </row>
    <row r="84" spans="1:19" s="62" customFormat="1" ht="37.5">
      <c r="A84" s="1"/>
      <c r="B84" s="171"/>
      <c r="C84" s="168"/>
      <c r="D84" s="140"/>
      <c r="E84" s="168"/>
      <c r="F84" s="168"/>
      <c r="G84" s="169"/>
      <c r="H84" s="168"/>
      <c r="I84" s="141"/>
      <c r="J84" s="142"/>
      <c r="K84" s="217" t="s">
        <v>362</v>
      </c>
      <c r="L84" s="62">
        <v>1296000</v>
      </c>
      <c r="N84" s="1"/>
      <c r="O84" s="1"/>
      <c r="P84" s="1"/>
      <c r="Q84" s="1"/>
      <c r="R84" s="1"/>
      <c r="S84" s="1"/>
    </row>
    <row r="85" spans="1:19" s="62" customFormat="1" ht="37.5">
      <c r="A85" s="1"/>
      <c r="B85" s="171"/>
      <c r="C85" s="168"/>
      <c r="D85" s="140"/>
      <c r="E85" s="168"/>
      <c r="F85" s="168"/>
      <c r="G85" s="169"/>
      <c r="H85" s="168"/>
      <c r="I85" s="141"/>
      <c r="J85" s="142"/>
      <c r="K85" s="217" t="s">
        <v>363</v>
      </c>
      <c r="L85" s="62">
        <v>100000</v>
      </c>
      <c r="N85" s="1"/>
      <c r="O85" s="1"/>
      <c r="P85" s="1"/>
      <c r="Q85" s="1"/>
      <c r="R85" s="1"/>
      <c r="S85" s="1"/>
    </row>
    <row r="86" spans="1:19" s="62" customFormat="1" ht="37.5">
      <c r="A86" s="1"/>
      <c r="B86" s="171"/>
      <c r="C86" s="168"/>
      <c r="D86" s="140"/>
      <c r="E86" s="168"/>
      <c r="F86" s="168"/>
      <c r="G86" s="169"/>
      <c r="H86" s="168"/>
      <c r="I86" s="141"/>
      <c r="J86" s="142"/>
      <c r="K86" s="217" t="s">
        <v>364</v>
      </c>
      <c r="L86" s="62">
        <v>60000</v>
      </c>
      <c r="N86" s="1"/>
      <c r="O86" s="1"/>
      <c r="P86" s="1"/>
      <c r="Q86" s="1"/>
      <c r="R86" s="1"/>
      <c r="S86" s="1"/>
    </row>
    <row r="87" spans="1:19" s="62" customFormat="1" ht="37.5">
      <c r="A87" s="1"/>
      <c r="B87" s="171"/>
      <c r="C87" s="168"/>
      <c r="D87" s="140"/>
      <c r="E87" s="168"/>
      <c r="F87" s="168"/>
      <c r="G87" s="169"/>
      <c r="H87" s="168"/>
      <c r="I87" s="141"/>
      <c r="J87" s="142"/>
      <c r="K87" s="217" t="s">
        <v>365</v>
      </c>
      <c r="L87" s="62">
        <v>150000</v>
      </c>
      <c r="N87" s="1"/>
      <c r="O87" s="1"/>
      <c r="P87" s="1"/>
      <c r="Q87" s="1"/>
      <c r="R87" s="1"/>
      <c r="S87" s="1"/>
    </row>
    <row r="88" spans="1:19" s="62" customFormat="1">
      <c r="A88" s="1"/>
      <c r="B88" s="171"/>
      <c r="C88" s="168"/>
      <c r="D88" s="140"/>
      <c r="E88" s="168"/>
      <c r="F88" s="168"/>
      <c r="G88" s="169"/>
      <c r="H88" s="168"/>
      <c r="I88" s="141"/>
      <c r="J88" s="142"/>
      <c r="K88" s="217"/>
      <c r="N88" s="1"/>
      <c r="O88" s="1"/>
      <c r="P88" s="1"/>
      <c r="Q88" s="1"/>
      <c r="R88" s="1"/>
      <c r="S88" s="1"/>
    </row>
    <row r="89" spans="1:19" s="62" customFormat="1">
      <c r="A89" s="1"/>
      <c r="B89" s="171" t="s">
        <v>103</v>
      </c>
      <c r="C89" s="168"/>
      <c r="D89" s="140"/>
      <c r="E89" s="168">
        <f>3+1.835</f>
        <v>4.835</v>
      </c>
      <c r="F89" s="168"/>
      <c r="G89" s="169"/>
      <c r="H89" s="168">
        <v>11.4817</v>
      </c>
      <c r="I89" s="141">
        <f t="shared" si="2"/>
        <v>6.6467000000000001</v>
      </c>
      <c r="J89" s="142">
        <f t="shared" si="3"/>
        <v>57.889511135110652</v>
      </c>
      <c r="K89" s="170" t="s">
        <v>282</v>
      </c>
      <c r="L89" s="62">
        <f>SUM(L90:L93)</f>
        <v>11481700</v>
      </c>
      <c r="N89" s="1"/>
      <c r="O89" s="1"/>
      <c r="P89" s="1"/>
      <c r="Q89" s="1"/>
      <c r="R89" s="1"/>
      <c r="S89" s="1"/>
    </row>
    <row r="90" spans="1:19" s="62" customFormat="1">
      <c r="A90" s="1"/>
      <c r="B90" s="171"/>
      <c r="C90" s="168"/>
      <c r="D90" s="140"/>
      <c r="E90" s="168"/>
      <c r="F90" s="168"/>
      <c r="G90" s="169"/>
      <c r="H90" s="168"/>
      <c r="I90" s="141"/>
      <c r="J90" s="142"/>
      <c r="K90" s="218" t="s">
        <v>283</v>
      </c>
      <c r="L90" s="62">
        <v>4380300</v>
      </c>
      <c r="N90" s="1"/>
      <c r="O90" s="1"/>
      <c r="P90" s="1"/>
      <c r="Q90" s="1"/>
      <c r="R90" s="1"/>
      <c r="S90" s="1"/>
    </row>
    <row r="91" spans="1:19" s="62" customFormat="1">
      <c r="A91" s="1"/>
      <c r="B91" s="171"/>
      <c r="C91" s="168"/>
      <c r="D91" s="140"/>
      <c r="E91" s="168"/>
      <c r="F91" s="168"/>
      <c r="G91" s="169"/>
      <c r="H91" s="168"/>
      <c r="I91" s="141"/>
      <c r="J91" s="142"/>
      <c r="K91" s="170" t="s">
        <v>335</v>
      </c>
      <c r="L91" s="62">
        <v>5434300</v>
      </c>
      <c r="N91" s="1"/>
      <c r="O91" s="1"/>
      <c r="P91" s="1"/>
      <c r="Q91" s="1"/>
      <c r="R91" s="1"/>
      <c r="S91" s="1"/>
    </row>
    <row r="92" spans="1:19" s="62" customFormat="1">
      <c r="A92" s="1"/>
      <c r="B92" s="171"/>
      <c r="C92" s="168"/>
      <c r="D92" s="140"/>
      <c r="E92" s="168"/>
      <c r="F92" s="168"/>
      <c r="G92" s="169"/>
      <c r="H92" s="168"/>
      <c r="I92" s="141"/>
      <c r="J92" s="142"/>
      <c r="K92" s="170" t="s">
        <v>336</v>
      </c>
      <c r="L92" s="62">
        <v>1276500</v>
      </c>
      <c r="N92" s="1"/>
      <c r="O92" s="1"/>
      <c r="P92" s="1"/>
      <c r="Q92" s="1"/>
      <c r="R92" s="1"/>
      <c r="S92" s="1"/>
    </row>
    <row r="93" spans="1:19" s="62" customFormat="1" ht="37.5">
      <c r="A93" s="1"/>
      <c r="B93" s="171"/>
      <c r="C93" s="168"/>
      <c r="D93" s="140"/>
      <c r="E93" s="168"/>
      <c r="F93" s="168"/>
      <c r="G93" s="169"/>
      <c r="H93" s="168"/>
      <c r="I93" s="141"/>
      <c r="J93" s="142"/>
      <c r="K93" s="167" t="s">
        <v>337</v>
      </c>
      <c r="L93" s="62">
        <v>390600</v>
      </c>
      <c r="N93" s="1"/>
      <c r="O93" s="1"/>
      <c r="P93" s="1"/>
      <c r="Q93" s="1"/>
      <c r="R93" s="1"/>
      <c r="S93" s="1"/>
    </row>
    <row r="94" spans="1:19" s="62" customFormat="1" ht="56.25">
      <c r="A94" s="1"/>
      <c r="B94" s="171" t="s">
        <v>104</v>
      </c>
      <c r="C94" s="168"/>
      <c r="D94" s="140"/>
      <c r="E94" s="168">
        <v>0.5</v>
      </c>
      <c r="F94" s="168"/>
      <c r="G94" s="169"/>
      <c r="H94" s="168">
        <v>0.7833</v>
      </c>
      <c r="I94" s="141">
        <f t="shared" si="2"/>
        <v>0.2833</v>
      </c>
      <c r="J94" s="142">
        <f t="shared" si="3"/>
        <v>36.167496489212304</v>
      </c>
      <c r="K94" s="167" t="s">
        <v>338</v>
      </c>
      <c r="L94" s="62">
        <v>45000</v>
      </c>
      <c r="N94" s="1"/>
      <c r="O94" s="1"/>
      <c r="P94" s="1"/>
      <c r="Q94" s="1"/>
      <c r="R94" s="1"/>
      <c r="S94" s="1"/>
    </row>
    <row r="95" spans="1:19" s="62" customFormat="1" ht="75">
      <c r="A95" s="1"/>
      <c r="B95" s="171"/>
      <c r="C95" s="168"/>
      <c r="D95" s="140"/>
      <c r="E95" s="168"/>
      <c r="F95" s="168"/>
      <c r="G95" s="169"/>
      <c r="H95" s="168"/>
      <c r="I95" s="141"/>
      <c r="J95" s="142"/>
      <c r="K95" s="167" t="s">
        <v>339</v>
      </c>
      <c r="L95" s="62">
        <v>138300</v>
      </c>
      <c r="N95" s="1"/>
      <c r="O95" s="1"/>
      <c r="P95" s="1"/>
      <c r="Q95" s="1"/>
      <c r="R95" s="1"/>
      <c r="S95" s="1"/>
    </row>
    <row r="96" spans="1:19" s="62" customFormat="1" ht="37.5">
      <c r="A96" s="1"/>
      <c r="B96" s="171"/>
      <c r="C96" s="168"/>
      <c r="D96" s="140"/>
      <c r="E96" s="168"/>
      <c r="F96" s="168"/>
      <c r="G96" s="169"/>
      <c r="H96" s="168"/>
      <c r="I96" s="141"/>
      <c r="J96" s="142"/>
      <c r="K96" s="167" t="s">
        <v>366</v>
      </c>
      <c r="L96" s="62">
        <v>480000</v>
      </c>
      <c r="N96" s="1"/>
      <c r="O96" s="1"/>
      <c r="P96" s="1"/>
      <c r="Q96" s="1"/>
      <c r="R96" s="1"/>
      <c r="S96" s="1"/>
    </row>
    <row r="97" spans="1:19" s="62" customFormat="1" ht="56.25">
      <c r="A97" s="1"/>
      <c r="B97" s="171"/>
      <c r="C97" s="168"/>
      <c r="D97" s="140"/>
      <c r="E97" s="168"/>
      <c r="F97" s="168"/>
      <c r="G97" s="169"/>
      <c r="H97" s="168"/>
      <c r="I97" s="141"/>
      <c r="J97" s="142"/>
      <c r="K97" s="167" t="s">
        <v>367</v>
      </c>
      <c r="L97" s="62">
        <v>150000</v>
      </c>
      <c r="N97" s="1"/>
      <c r="O97" s="1"/>
      <c r="P97" s="1"/>
      <c r="Q97" s="1"/>
      <c r="R97" s="1"/>
      <c r="S97" s="1"/>
    </row>
    <row r="98" spans="1:19" s="62" customFormat="1" ht="56.25">
      <c r="A98" s="1"/>
      <c r="B98" s="171" t="s">
        <v>105</v>
      </c>
      <c r="C98" s="168"/>
      <c r="D98" s="140"/>
      <c r="E98" s="168">
        <v>1.9</v>
      </c>
      <c r="F98" s="168"/>
      <c r="G98" s="169"/>
      <c r="H98" s="168">
        <f>0.2805+2</f>
        <v>2.2805</v>
      </c>
      <c r="I98" s="141">
        <f t="shared" si="2"/>
        <v>0.38050000000000006</v>
      </c>
      <c r="J98" s="142">
        <f t="shared" si="3"/>
        <v>16.684937513703137</v>
      </c>
      <c r="K98" s="167" t="s">
        <v>407</v>
      </c>
      <c r="N98" s="1"/>
      <c r="O98" s="1"/>
      <c r="P98" s="1"/>
      <c r="Q98" s="1"/>
      <c r="R98" s="1"/>
      <c r="S98" s="1"/>
    </row>
    <row r="99" spans="1:19" s="62" customFormat="1" ht="37.5">
      <c r="A99" s="1"/>
      <c r="B99" s="171"/>
      <c r="C99" s="168"/>
      <c r="D99" s="140"/>
      <c r="E99" s="168"/>
      <c r="F99" s="168"/>
      <c r="G99" s="169"/>
      <c r="H99" s="168"/>
      <c r="I99" s="141"/>
      <c r="J99" s="142"/>
      <c r="K99" s="167" t="s">
        <v>408</v>
      </c>
      <c r="N99" s="1"/>
      <c r="O99" s="1"/>
      <c r="P99" s="1"/>
      <c r="Q99" s="1"/>
      <c r="R99" s="1"/>
      <c r="S99" s="1"/>
    </row>
    <row r="100" spans="1:19" s="62" customFormat="1" ht="56.25">
      <c r="A100" s="1"/>
      <c r="B100" s="171"/>
      <c r="C100" s="168"/>
      <c r="D100" s="140"/>
      <c r="E100" s="168"/>
      <c r="F100" s="168"/>
      <c r="G100" s="169"/>
      <c r="H100" s="168"/>
      <c r="I100" s="141"/>
      <c r="J100" s="142"/>
      <c r="K100" s="167" t="s">
        <v>409</v>
      </c>
      <c r="N100" s="1"/>
      <c r="O100" s="1"/>
      <c r="P100" s="1"/>
      <c r="Q100" s="1"/>
      <c r="R100" s="1"/>
      <c r="S100" s="1"/>
    </row>
    <row r="101" spans="1:19" s="62" customFormat="1">
      <c r="A101" s="1"/>
      <c r="B101" s="171"/>
      <c r="C101" s="168"/>
      <c r="D101" s="140"/>
      <c r="E101" s="168"/>
      <c r="F101" s="168"/>
      <c r="G101" s="169"/>
      <c r="H101" s="168"/>
      <c r="I101" s="141"/>
      <c r="J101" s="142"/>
      <c r="K101" s="167" t="s">
        <v>410</v>
      </c>
      <c r="N101" s="1"/>
      <c r="O101" s="1"/>
      <c r="P101" s="1"/>
      <c r="Q101" s="1"/>
      <c r="R101" s="1"/>
      <c r="S101" s="1"/>
    </row>
    <row r="102" spans="1:19" s="62" customFormat="1" ht="56.25">
      <c r="A102" s="1"/>
      <c r="B102" s="171" t="s">
        <v>368</v>
      </c>
      <c r="C102" s="168"/>
      <c r="D102" s="140"/>
      <c r="E102" s="168"/>
      <c r="F102" s="168"/>
      <c r="G102" s="169"/>
      <c r="H102" s="168">
        <v>2.14</v>
      </c>
      <c r="I102" s="141">
        <f t="shared" si="2"/>
        <v>2.14</v>
      </c>
      <c r="J102" s="142">
        <f t="shared" si="3"/>
        <v>100</v>
      </c>
      <c r="K102" s="167" t="s">
        <v>411</v>
      </c>
      <c r="N102" s="1"/>
      <c r="O102" s="1"/>
      <c r="P102" s="1"/>
      <c r="Q102" s="1"/>
      <c r="R102" s="1"/>
      <c r="S102" s="1"/>
    </row>
    <row r="103" spans="1:19" s="62" customFormat="1" ht="56.25">
      <c r="A103" s="1"/>
      <c r="B103" s="171"/>
      <c r="C103" s="168"/>
      <c r="D103" s="140"/>
      <c r="E103" s="168"/>
      <c r="F103" s="168"/>
      <c r="G103" s="169"/>
      <c r="H103" s="168"/>
      <c r="I103" s="141"/>
      <c r="J103" s="142"/>
      <c r="K103" s="167" t="s">
        <v>412</v>
      </c>
      <c r="N103" s="1"/>
      <c r="O103" s="1"/>
      <c r="P103" s="1"/>
      <c r="Q103" s="1"/>
      <c r="R103" s="1"/>
      <c r="S103" s="1"/>
    </row>
    <row r="104" spans="1:19" s="62" customFormat="1" ht="56.25">
      <c r="A104" s="1"/>
      <c r="B104" s="171"/>
      <c r="C104" s="168"/>
      <c r="D104" s="140"/>
      <c r="E104" s="168"/>
      <c r="F104" s="168"/>
      <c r="G104" s="169"/>
      <c r="H104" s="168"/>
      <c r="I104" s="141"/>
      <c r="J104" s="142"/>
      <c r="K104" s="167" t="s">
        <v>413</v>
      </c>
      <c r="N104" s="1"/>
      <c r="O104" s="1"/>
      <c r="P104" s="1"/>
      <c r="Q104" s="1"/>
      <c r="R104" s="1"/>
      <c r="S104" s="1"/>
    </row>
    <row r="105" spans="1:19" s="62" customFormat="1" ht="40.5">
      <c r="A105" s="1"/>
      <c r="B105" s="167" t="s">
        <v>69</v>
      </c>
      <c r="C105" s="168"/>
      <c r="D105" s="140"/>
      <c r="E105" s="168"/>
      <c r="F105" s="168"/>
      <c r="G105" s="169"/>
      <c r="H105" s="168">
        <v>2.7528000000000001</v>
      </c>
      <c r="I105" s="141">
        <f t="shared" si="2"/>
        <v>2.7528000000000001</v>
      </c>
      <c r="J105" s="142">
        <f t="shared" si="3"/>
        <v>100</v>
      </c>
      <c r="K105" s="170"/>
      <c r="N105" s="1"/>
      <c r="O105" s="1"/>
      <c r="P105" s="1"/>
      <c r="Q105" s="1"/>
      <c r="R105" s="1"/>
      <c r="S105" s="1"/>
    </row>
    <row r="106" spans="1:19" s="62" customFormat="1">
      <c r="A106" s="1"/>
      <c r="B106" s="171" t="s">
        <v>2</v>
      </c>
      <c r="C106" s="172"/>
      <c r="D106" s="173"/>
      <c r="E106" s="172"/>
      <c r="F106" s="168"/>
      <c r="G106" s="169"/>
      <c r="H106" s="172"/>
      <c r="I106" s="141"/>
      <c r="J106" s="142"/>
      <c r="K106" s="170"/>
      <c r="N106" s="1"/>
      <c r="O106" s="1"/>
      <c r="P106" s="1"/>
      <c r="Q106" s="1"/>
      <c r="R106" s="1"/>
      <c r="S106" s="1"/>
    </row>
    <row r="107" spans="1:19" s="62" customFormat="1">
      <c r="A107" s="1"/>
      <c r="B107" s="171" t="s">
        <v>3</v>
      </c>
      <c r="C107" s="172"/>
      <c r="D107" s="173"/>
      <c r="E107" s="172"/>
      <c r="F107" s="168"/>
      <c r="G107" s="169"/>
      <c r="H107" s="172"/>
      <c r="I107" s="141"/>
      <c r="J107" s="142"/>
      <c r="K107" s="170"/>
      <c r="L107" s="62">
        <f>SUM(L108:L113)</f>
        <v>2752800</v>
      </c>
      <c r="N107" s="1"/>
      <c r="O107" s="1"/>
      <c r="P107" s="1"/>
      <c r="Q107" s="1"/>
      <c r="R107" s="1"/>
      <c r="S107" s="1"/>
    </row>
    <row r="108" spans="1:19" s="62" customFormat="1" ht="93.75">
      <c r="A108" s="1"/>
      <c r="B108" s="171" t="s">
        <v>342</v>
      </c>
      <c r="C108" s="168"/>
      <c r="D108" s="140"/>
      <c r="E108" s="168"/>
      <c r="F108" s="168"/>
      <c r="G108" s="169"/>
      <c r="H108" s="168"/>
      <c r="I108" s="141"/>
      <c r="J108" s="142"/>
      <c r="K108" s="217" t="s">
        <v>331</v>
      </c>
      <c r="L108" s="62">
        <v>940000</v>
      </c>
      <c r="N108" s="1"/>
      <c r="O108" s="1"/>
      <c r="P108" s="1"/>
      <c r="Q108" s="1"/>
      <c r="R108" s="1"/>
      <c r="S108" s="1"/>
    </row>
    <row r="109" spans="1:19" s="62" customFormat="1" ht="56.25">
      <c r="A109" s="1"/>
      <c r="B109" s="171" t="s">
        <v>341</v>
      </c>
      <c r="C109" s="168"/>
      <c r="D109" s="140"/>
      <c r="E109" s="168"/>
      <c r="F109" s="168"/>
      <c r="G109" s="169"/>
      <c r="H109" s="168"/>
      <c r="I109" s="141"/>
      <c r="J109" s="142"/>
      <c r="K109" s="217" t="s">
        <v>278</v>
      </c>
      <c r="L109" s="62">
        <v>168800</v>
      </c>
      <c r="N109" s="1"/>
      <c r="O109" s="1"/>
      <c r="P109" s="1"/>
      <c r="Q109" s="1"/>
      <c r="R109" s="1"/>
      <c r="S109" s="1"/>
    </row>
    <row r="110" spans="1:19" s="62" customFormat="1" ht="37.5">
      <c r="A110" s="1"/>
      <c r="B110" s="171" t="s">
        <v>340</v>
      </c>
      <c r="C110" s="168"/>
      <c r="D110" s="140"/>
      <c r="E110" s="168"/>
      <c r="F110" s="168"/>
      <c r="G110" s="169"/>
      <c r="H110" s="168"/>
      <c r="I110" s="141"/>
      <c r="J110" s="142"/>
      <c r="K110" s="217" t="s">
        <v>343</v>
      </c>
      <c r="L110" s="62">
        <v>180000</v>
      </c>
      <c r="N110" s="1"/>
      <c r="O110" s="1"/>
      <c r="P110" s="1"/>
      <c r="Q110" s="1"/>
      <c r="R110" s="1"/>
      <c r="S110" s="1"/>
    </row>
    <row r="111" spans="1:19" s="62" customFormat="1" ht="37.5">
      <c r="A111" s="1"/>
      <c r="B111" s="171" t="s">
        <v>345</v>
      </c>
      <c r="C111" s="168"/>
      <c r="D111" s="140"/>
      <c r="E111" s="168"/>
      <c r="F111" s="168"/>
      <c r="G111" s="169"/>
      <c r="H111" s="168"/>
      <c r="I111" s="141"/>
      <c r="J111" s="142"/>
      <c r="K111" s="217" t="s">
        <v>346</v>
      </c>
      <c r="L111" s="62">
        <v>384000</v>
      </c>
      <c r="N111" s="1"/>
      <c r="O111" s="1"/>
      <c r="P111" s="1"/>
      <c r="Q111" s="1"/>
      <c r="R111" s="1"/>
      <c r="S111" s="1"/>
    </row>
    <row r="112" spans="1:19" s="62" customFormat="1" ht="75">
      <c r="A112" s="1"/>
      <c r="B112" s="171" t="s">
        <v>356</v>
      </c>
      <c r="C112" s="168"/>
      <c r="D112" s="140"/>
      <c r="E112" s="168"/>
      <c r="F112" s="168"/>
      <c r="G112" s="169"/>
      <c r="H112" s="168"/>
      <c r="I112" s="141"/>
      <c r="J112" s="142"/>
      <c r="K112" s="217" t="s">
        <v>357</v>
      </c>
      <c r="L112" s="62">
        <v>360000</v>
      </c>
      <c r="N112" s="1"/>
      <c r="O112" s="1"/>
      <c r="P112" s="1"/>
      <c r="Q112" s="1"/>
      <c r="R112" s="1"/>
      <c r="S112" s="1"/>
    </row>
    <row r="113" spans="1:19" s="62" customFormat="1" ht="53.25" customHeight="1">
      <c r="A113" s="1"/>
      <c r="B113" s="171" t="s">
        <v>360</v>
      </c>
      <c r="C113" s="168"/>
      <c r="D113" s="140"/>
      <c r="E113" s="168"/>
      <c r="F113" s="168"/>
      <c r="G113" s="169"/>
      <c r="H113" s="168"/>
      <c r="I113" s="141"/>
      <c r="J113" s="142"/>
      <c r="K113" s="217" t="s">
        <v>359</v>
      </c>
      <c r="L113" s="62">
        <v>720000</v>
      </c>
      <c r="N113" s="1"/>
      <c r="O113" s="1"/>
      <c r="P113" s="1"/>
      <c r="Q113" s="1"/>
      <c r="R113" s="1"/>
      <c r="S113" s="1"/>
    </row>
    <row r="114" spans="1:19" s="62" customFormat="1">
      <c r="A114" s="1"/>
      <c r="B114" s="167" t="s">
        <v>22</v>
      </c>
      <c r="C114" s="168"/>
      <c r="D114" s="140"/>
      <c r="E114" s="168"/>
      <c r="F114" s="168"/>
      <c r="G114" s="169"/>
      <c r="H114" s="168"/>
      <c r="I114" s="141"/>
      <c r="J114" s="142"/>
      <c r="K114" s="170"/>
      <c r="N114" s="1"/>
      <c r="O114" s="1"/>
      <c r="P114" s="1"/>
      <c r="Q114" s="1"/>
      <c r="R114" s="1"/>
      <c r="S114" s="1"/>
    </row>
    <row r="115" spans="1:19" s="62" customFormat="1">
      <c r="A115" s="1"/>
      <c r="B115" s="171" t="s">
        <v>21</v>
      </c>
      <c r="C115" s="168"/>
      <c r="D115" s="140"/>
      <c r="E115" s="168"/>
      <c r="F115" s="168"/>
      <c r="G115" s="169"/>
      <c r="H115" s="168"/>
      <c r="I115" s="141"/>
      <c r="J115" s="142"/>
      <c r="K115" s="170"/>
      <c r="N115" s="1"/>
      <c r="O115" s="1"/>
      <c r="P115" s="1"/>
      <c r="Q115" s="1"/>
      <c r="R115" s="1"/>
      <c r="S115" s="1"/>
    </row>
    <row r="116" spans="1:19" s="62" customFormat="1">
      <c r="A116" s="1"/>
      <c r="B116" s="167" t="s">
        <v>20</v>
      </c>
      <c r="C116" s="168"/>
      <c r="D116" s="140"/>
      <c r="E116" s="168"/>
      <c r="F116" s="168"/>
      <c r="G116" s="169"/>
      <c r="H116" s="168"/>
      <c r="I116" s="141"/>
      <c r="J116" s="142"/>
      <c r="K116" s="170"/>
      <c r="N116" s="1"/>
      <c r="O116" s="1"/>
      <c r="P116" s="1"/>
      <c r="Q116" s="1"/>
      <c r="R116" s="1"/>
      <c r="S116" s="1"/>
    </row>
    <row r="117" spans="1:19" s="62" customFormat="1">
      <c r="A117" s="1"/>
      <c r="B117" s="171" t="s">
        <v>17</v>
      </c>
      <c r="C117" s="168"/>
      <c r="D117" s="140"/>
      <c r="E117" s="168"/>
      <c r="F117" s="168"/>
      <c r="G117" s="169"/>
      <c r="H117" s="168"/>
      <c r="I117" s="141"/>
      <c r="J117" s="142"/>
      <c r="K117" s="170"/>
      <c r="N117" s="1"/>
      <c r="O117" s="1"/>
      <c r="P117" s="1"/>
      <c r="Q117" s="1"/>
      <c r="R117" s="1"/>
      <c r="S117" s="1"/>
    </row>
    <row r="118" spans="1:19" s="62" customFormat="1">
      <c r="A118" s="1"/>
      <c r="B118" s="216" t="s">
        <v>44</v>
      </c>
      <c r="C118" s="133"/>
      <c r="D118" s="134"/>
      <c r="E118" s="133">
        <f>SUM(E119:E128)</f>
        <v>3.5206</v>
      </c>
      <c r="F118" s="133"/>
      <c r="G118" s="134"/>
      <c r="H118" s="133">
        <f>SUM(H119:H130)</f>
        <v>3.3208000000000002</v>
      </c>
      <c r="I118" s="135">
        <f t="shared" ref="I118:I178" si="4">+H118-E118</f>
        <v>-0.19979999999999976</v>
      </c>
      <c r="J118" s="136">
        <f t="shared" ref="J118:J178" si="5">+I118*100/H118</f>
        <v>-6.0166225006022565</v>
      </c>
      <c r="K118" s="137"/>
      <c r="N118" s="1"/>
      <c r="O118" s="1"/>
      <c r="P118" s="1"/>
      <c r="Q118" s="1"/>
      <c r="R118" s="1"/>
      <c r="S118" s="1"/>
    </row>
    <row r="119" spans="1:19" s="62" customFormat="1">
      <c r="A119" s="1"/>
      <c r="B119" s="171" t="s">
        <v>90</v>
      </c>
      <c r="C119" s="168"/>
      <c r="D119" s="140"/>
      <c r="E119" s="168">
        <v>1.9440999999999999</v>
      </c>
      <c r="F119" s="168"/>
      <c r="G119" s="169"/>
      <c r="H119" s="168">
        <v>1.4308000000000001</v>
      </c>
      <c r="I119" s="141">
        <f t="shared" si="4"/>
        <v>-0.51329999999999987</v>
      </c>
      <c r="J119" s="142">
        <f t="shared" si="5"/>
        <v>-35.875034945485034</v>
      </c>
      <c r="K119" s="170" t="s">
        <v>284</v>
      </c>
      <c r="L119" s="62">
        <f>SUM(L120:L123)</f>
        <v>1430800</v>
      </c>
      <c r="N119" s="1"/>
      <c r="O119" s="1"/>
      <c r="P119" s="1"/>
      <c r="Q119" s="1"/>
      <c r="R119" s="1"/>
      <c r="S119" s="1"/>
    </row>
    <row r="120" spans="1:19" s="62" customFormat="1">
      <c r="A120" s="1"/>
      <c r="B120" s="171"/>
      <c r="C120" s="168"/>
      <c r="D120" s="140"/>
      <c r="E120" s="168"/>
      <c r="F120" s="168"/>
      <c r="G120" s="169"/>
      <c r="H120" s="168"/>
      <c r="I120" s="141"/>
      <c r="J120" s="142"/>
      <c r="K120" s="218" t="s">
        <v>285</v>
      </c>
      <c r="L120" s="62">
        <v>166300</v>
      </c>
      <c r="N120" s="1"/>
      <c r="O120" s="1"/>
      <c r="P120" s="1"/>
      <c r="Q120" s="1"/>
      <c r="R120" s="1"/>
      <c r="S120" s="1"/>
    </row>
    <row r="121" spans="1:19" s="62" customFormat="1" ht="37.5">
      <c r="A121" s="1"/>
      <c r="B121" s="171"/>
      <c r="C121" s="168"/>
      <c r="D121" s="140"/>
      <c r="E121" s="168"/>
      <c r="F121" s="168"/>
      <c r="G121" s="169"/>
      <c r="H121" s="168"/>
      <c r="I121" s="141"/>
      <c r="J121" s="142"/>
      <c r="K121" s="167" t="s">
        <v>332</v>
      </c>
      <c r="L121" s="62">
        <v>1000000</v>
      </c>
      <c r="N121" s="1"/>
      <c r="O121" s="1"/>
      <c r="P121" s="1"/>
      <c r="Q121" s="1"/>
      <c r="R121" s="1"/>
      <c r="S121" s="1"/>
    </row>
    <row r="122" spans="1:19" s="62" customFormat="1">
      <c r="A122" s="1"/>
      <c r="B122" s="171"/>
      <c r="C122" s="168"/>
      <c r="D122" s="140"/>
      <c r="E122" s="168"/>
      <c r="F122" s="168"/>
      <c r="G122" s="169"/>
      <c r="H122" s="168"/>
      <c r="I122" s="141"/>
      <c r="J122" s="142"/>
      <c r="K122" s="170" t="s">
        <v>351</v>
      </c>
      <c r="L122" s="62">
        <v>250000</v>
      </c>
      <c r="N122" s="1"/>
      <c r="O122" s="1"/>
      <c r="P122" s="1"/>
      <c r="Q122" s="1"/>
      <c r="R122" s="1"/>
      <c r="S122" s="1"/>
    </row>
    <row r="123" spans="1:19" s="62" customFormat="1">
      <c r="A123" s="1"/>
      <c r="B123" s="171"/>
      <c r="C123" s="168"/>
      <c r="D123" s="140"/>
      <c r="E123" s="168"/>
      <c r="F123" s="168"/>
      <c r="G123" s="169"/>
      <c r="H123" s="168"/>
      <c r="I123" s="141"/>
      <c r="J123" s="142"/>
      <c r="K123" s="170" t="s">
        <v>358</v>
      </c>
      <c r="L123" s="62">
        <v>14500</v>
      </c>
      <c r="N123" s="1"/>
      <c r="O123" s="1"/>
      <c r="P123" s="1"/>
      <c r="Q123" s="1"/>
      <c r="R123" s="1"/>
      <c r="S123" s="1"/>
    </row>
    <row r="124" spans="1:19" s="62" customFormat="1">
      <c r="A124" s="1"/>
      <c r="B124" s="171"/>
      <c r="C124" s="168"/>
      <c r="D124" s="140"/>
      <c r="E124" s="168"/>
      <c r="F124" s="168"/>
      <c r="G124" s="169"/>
      <c r="H124" s="168"/>
      <c r="I124" s="141"/>
      <c r="J124" s="142"/>
      <c r="K124" s="170"/>
      <c r="N124" s="1"/>
      <c r="O124" s="1"/>
      <c r="P124" s="1"/>
      <c r="Q124" s="1"/>
      <c r="R124" s="1"/>
      <c r="S124" s="1"/>
    </row>
    <row r="125" spans="1:19" s="62" customFormat="1" ht="37.5">
      <c r="A125" s="1"/>
      <c r="B125" s="171" t="s">
        <v>91</v>
      </c>
      <c r="C125" s="168"/>
      <c r="D125" s="140"/>
      <c r="E125" s="168">
        <v>1.4659</v>
      </c>
      <c r="F125" s="168"/>
      <c r="G125" s="169"/>
      <c r="H125" s="168">
        <f>1+0.25+0.105+0.2+0.02+0.18</f>
        <v>1.7549999999999999</v>
      </c>
      <c r="I125" s="141">
        <f t="shared" si="4"/>
        <v>0.28909999999999991</v>
      </c>
      <c r="J125" s="142">
        <f t="shared" si="5"/>
        <v>16.472934472934469</v>
      </c>
      <c r="K125" s="167" t="s">
        <v>334</v>
      </c>
      <c r="N125" s="1"/>
      <c r="O125" s="1"/>
      <c r="P125" s="1"/>
      <c r="Q125" s="1"/>
      <c r="R125" s="1"/>
      <c r="S125" s="1"/>
    </row>
    <row r="126" spans="1:19" s="62" customFormat="1">
      <c r="A126" s="1"/>
      <c r="B126" s="171"/>
      <c r="C126" s="168"/>
      <c r="D126" s="140"/>
      <c r="E126" s="168"/>
      <c r="F126" s="168"/>
      <c r="G126" s="169"/>
      <c r="H126" s="168"/>
      <c r="I126" s="141"/>
      <c r="J126" s="142"/>
      <c r="K126" s="167" t="s">
        <v>369</v>
      </c>
      <c r="N126" s="1"/>
      <c r="O126" s="1"/>
      <c r="P126" s="1"/>
      <c r="Q126" s="1"/>
      <c r="R126" s="1"/>
      <c r="S126" s="1"/>
    </row>
    <row r="127" spans="1:19" s="62" customFormat="1">
      <c r="A127" s="1"/>
      <c r="B127" s="171"/>
      <c r="C127" s="168"/>
      <c r="D127" s="140"/>
      <c r="E127" s="168"/>
      <c r="F127" s="168"/>
      <c r="G127" s="169"/>
      <c r="H127" s="168"/>
      <c r="I127" s="141"/>
      <c r="J127" s="142"/>
      <c r="K127" s="167"/>
      <c r="N127" s="1"/>
      <c r="O127" s="1"/>
      <c r="P127" s="1"/>
      <c r="Q127" s="1"/>
      <c r="R127" s="1"/>
      <c r="S127" s="1"/>
    </row>
    <row r="128" spans="1:19" s="62" customFormat="1">
      <c r="A128" s="1"/>
      <c r="B128" s="171" t="s">
        <v>115</v>
      </c>
      <c r="C128" s="168"/>
      <c r="D128" s="140"/>
      <c r="E128" s="168">
        <v>0.1106</v>
      </c>
      <c r="F128" s="168"/>
      <c r="G128" s="169"/>
      <c r="H128" s="168">
        <v>1.4999999999999999E-2</v>
      </c>
      <c r="I128" s="141">
        <f t="shared" si="4"/>
        <v>-9.5600000000000004E-2</v>
      </c>
      <c r="J128" s="142">
        <f t="shared" si="5"/>
        <v>-637.33333333333337</v>
      </c>
      <c r="K128" s="170" t="s">
        <v>352</v>
      </c>
      <c r="N128" s="1"/>
      <c r="O128" s="1"/>
      <c r="P128" s="1"/>
      <c r="Q128" s="1"/>
      <c r="R128" s="1"/>
      <c r="S128" s="1"/>
    </row>
    <row r="129" spans="1:19" s="62" customFormat="1" ht="75">
      <c r="A129" s="1"/>
      <c r="B129" s="171" t="s">
        <v>135</v>
      </c>
      <c r="C129" s="168"/>
      <c r="D129" s="140"/>
      <c r="E129" s="168"/>
      <c r="F129" s="168"/>
      <c r="G129" s="169"/>
      <c r="H129" s="168">
        <f>0.12</f>
        <v>0.12</v>
      </c>
      <c r="I129" s="141">
        <f t="shared" si="4"/>
        <v>0.12</v>
      </c>
      <c r="J129" s="142">
        <f t="shared" si="5"/>
        <v>100</v>
      </c>
      <c r="K129" s="167" t="s">
        <v>333</v>
      </c>
      <c r="N129" s="1"/>
      <c r="O129" s="1"/>
      <c r="P129" s="1"/>
      <c r="Q129" s="1"/>
      <c r="R129" s="1"/>
      <c r="S129" s="1"/>
    </row>
    <row r="130" spans="1:19" s="62" customFormat="1">
      <c r="A130" s="1"/>
      <c r="B130" s="171"/>
      <c r="C130" s="168"/>
      <c r="D130" s="140"/>
      <c r="E130" s="168"/>
      <c r="F130" s="168"/>
      <c r="G130" s="169"/>
      <c r="H130" s="168"/>
      <c r="I130" s="141"/>
      <c r="J130" s="142"/>
      <c r="K130" s="170"/>
      <c r="N130" s="1"/>
      <c r="O130" s="1"/>
      <c r="P130" s="1"/>
      <c r="Q130" s="1"/>
      <c r="R130" s="1"/>
      <c r="S130" s="1"/>
    </row>
    <row r="131" spans="1:19" s="62" customFormat="1">
      <c r="A131" s="1"/>
      <c r="B131" s="179" t="s">
        <v>45</v>
      </c>
      <c r="C131" s="180"/>
      <c r="D131" s="181"/>
      <c r="E131" s="180">
        <f>SUM(E132:E136)</f>
        <v>6.7859000000000007</v>
      </c>
      <c r="F131" s="180"/>
      <c r="G131" s="181"/>
      <c r="H131" s="180">
        <f>SUM(H132:H136)</f>
        <v>9.4137000000000004</v>
      </c>
      <c r="I131" s="182">
        <f t="shared" si="4"/>
        <v>2.6277999999999997</v>
      </c>
      <c r="J131" s="183">
        <f t="shared" si="5"/>
        <v>27.914635053167189</v>
      </c>
      <c r="K131" s="184" t="s">
        <v>267</v>
      </c>
      <c r="N131" s="1"/>
      <c r="O131" s="1"/>
      <c r="P131" s="1"/>
      <c r="Q131" s="1"/>
      <c r="R131" s="1"/>
      <c r="S131" s="1"/>
    </row>
    <row r="132" spans="1:19" s="62" customFormat="1">
      <c r="A132" s="1"/>
      <c r="B132" s="220" t="s">
        <v>106</v>
      </c>
      <c r="C132" s="168"/>
      <c r="D132" s="140"/>
      <c r="E132" s="168">
        <v>1.456</v>
      </c>
      <c r="F132" s="168"/>
      <c r="G132" s="169"/>
      <c r="H132" s="168">
        <f>2.0867+0.636</f>
        <v>2.7227000000000001</v>
      </c>
      <c r="I132" s="141">
        <f t="shared" si="4"/>
        <v>1.2667000000000002</v>
      </c>
      <c r="J132" s="142">
        <f t="shared" si="5"/>
        <v>46.523671355639628</v>
      </c>
      <c r="K132" s="167" t="s">
        <v>268</v>
      </c>
      <c r="N132" s="1"/>
      <c r="O132" s="1"/>
      <c r="P132" s="1"/>
      <c r="Q132" s="1"/>
      <c r="R132" s="1"/>
      <c r="S132" s="1"/>
    </row>
    <row r="133" spans="1:19" s="62" customFormat="1">
      <c r="A133" s="1"/>
      <c r="B133" s="220" t="s">
        <v>107</v>
      </c>
      <c r="C133" s="168"/>
      <c r="D133" s="140"/>
      <c r="E133" s="168">
        <v>1.4</v>
      </c>
      <c r="F133" s="168"/>
      <c r="G133" s="169"/>
      <c r="H133" s="168">
        <v>0.5</v>
      </c>
      <c r="I133" s="141">
        <f t="shared" si="4"/>
        <v>-0.89999999999999991</v>
      </c>
      <c r="J133" s="142">
        <f t="shared" si="5"/>
        <v>-179.99999999999997</v>
      </c>
      <c r="K133" s="170" t="s">
        <v>269</v>
      </c>
      <c r="N133" s="1"/>
      <c r="O133" s="1"/>
      <c r="P133" s="1"/>
      <c r="Q133" s="1"/>
      <c r="R133" s="1"/>
      <c r="S133" s="1"/>
    </row>
    <row r="134" spans="1:19" s="62" customFormat="1">
      <c r="A134" s="1"/>
      <c r="B134" s="220" t="s">
        <v>265</v>
      </c>
      <c r="C134" s="168"/>
      <c r="D134" s="140"/>
      <c r="E134" s="168">
        <v>3.4799000000000002</v>
      </c>
      <c r="F134" s="168"/>
      <c r="G134" s="169"/>
      <c r="H134" s="168">
        <v>5.7110000000000003</v>
      </c>
      <c r="I134" s="141">
        <f t="shared" si="4"/>
        <v>2.2311000000000001</v>
      </c>
      <c r="J134" s="142">
        <f t="shared" si="5"/>
        <v>39.066713360182106</v>
      </c>
      <c r="K134" s="170" t="s">
        <v>270</v>
      </c>
      <c r="N134" s="1"/>
      <c r="O134" s="1"/>
      <c r="P134" s="1"/>
      <c r="Q134" s="1"/>
      <c r="R134" s="1"/>
      <c r="S134" s="1"/>
    </row>
    <row r="135" spans="1:19" s="62" customFormat="1">
      <c r="A135" s="1"/>
      <c r="B135" s="178" t="s">
        <v>266</v>
      </c>
      <c r="C135" s="168"/>
      <c r="D135" s="140"/>
      <c r="E135" s="168">
        <v>0.4</v>
      </c>
      <c r="F135" s="168"/>
      <c r="G135" s="169"/>
      <c r="H135" s="168">
        <v>0.43</v>
      </c>
      <c r="I135" s="141">
        <f t="shared" si="4"/>
        <v>2.9999999999999971E-2</v>
      </c>
      <c r="J135" s="142">
        <f t="shared" si="5"/>
        <v>6.9767441860465054</v>
      </c>
      <c r="K135" s="170"/>
      <c r="N135" s="1"/>
      <c r="O135" s="1"/>
      <c r="P135" s="1"/>
      <c r="Q135" s="1"/>
      <c r="R135" s="1"/>
      <c r="S135" s="1"/>
    </row>
    <row r="136" spans="1:19" s="62" customFormat="1">
      <c r="A136" s="1"/>
      <c r="B136" s="178" t="s">
        <v>111</v>
      </c>
      <c r="C136" s="168"/>
      <c r="D136" s="140"/>
      <c r="E136" s="168">
        <v>0.05</v>
      </c>
      <c r="F136" s="168"/>
      <c r="G136" s="169"/>
      <c r="H136" s="168">
        <v>0.05</v>
      </c>
      <c r="I136" s="141">
        <f t="shared" si="4"/>
        <v>0</v>
      </c>
      <c r="J136" s="142">
        <f t="shared" si="5"/>
        <v>0</v>
      </c>
      <c r="K136" s="170" t="s">
        <v>271</v>
      </c>
      <c r="N136" s="1"/>
      <c r="O136" s="1"/>
      <c r="P136" s="1"/>
      <c r="Q136" s="1"/>
      <c r="R136" s="1"/>
      <c r="S136" s="1"/>
    </row>
    <row r="137" spans="1:19" s="62" customFormat="1">
      <c r="A137" s="1"/>
      <c r="B137" s="178"/>
      <c r="C137" s="168"/>
      <c r="D137" s="140"/>
      <c r="E137" s="168"/>
      <c r="F137" s="168"/>
      <c r="G137" s="169"/>
      <c r="H137" s="168"/>
      <c r="I137" s="141"/>
      <c r="J137" s="142"/>
      <c r="K137" s="167"/>
      <c r="N137" s="1"/>
      <c r="O137" s="1"/>
      <c r="P137" s="1"/>
      <c r="Q137" s="1"/>
      <c r="R137" s="1"/>
      <c r="S137" s="1"/>
    </row>
    <row r="138" spans="1:19" s="62" customFormat="1">
      <c r="A138" s="1"/>
      <c r="B138" s="221" t="s">
        <v>46</v>
      </c>
      <c r="C138" s="222"/>
      <c r="D138" s="223"/>
      <c r="E138" s="222">
        <f>+E139+E150</f>
        <v>0.47699999999999998</v>
      </c>
      <c r="F138" s="222"/>
      <c r="G138" s="223"/>
      <c r="H138" s="222">
        <f>+H139+H150</f>
        <v>5.0461999999999998</v>
      </c>
      <c r="I138" s="224">
        <f t="shared" si="4"/>
        <v>4.5691999999999995</v>
      </c>
      <c r="J138" s="225">
        <f t="shared" si="5"/>
        <v>90.547342554793701</v>
      </c>
      <c r="K138" s="226"/>
      <c r="N138" s="1"/>
      <c r="O138" s="1"/>
      <c r="P138" s="1"/>
      <c r="Q138" s="1"/>
      <c r="R138" s="1"/>
      <c r="S138" s="1"/>
    </row>
    <row r="139" spans="1:19" s="62" customFormat="1">
      <c r="A139" s="1"/>
      <c r="B139" s="179" t="s">
        <v>47</v>
      </c>
      <c r="C139" s="180"/>
      <c r="D139" s="181"/>
      <c r="E139" s="180">
        <f>+E141</f>
        <v>0.47699999999999998</v>
      </c>
      <c r="F139" s="180"/>
      <c r="G139" s="181"/>
      <c r="H139" s="180">
        <f>+H141</f>
        <v>5.0461999999999998</v>
      </c>
      <c r="I139" s="182">
        <f t="shared" si="4"/>
        <v>4.5691999999999995</v>
      </c>
      <c r="J139" s="183">
        <f t="shared" si="5"/>
        <v>90.547342554793701</v>
      </c>
      <c r="K139" s="184"/>
      <c r="N139" s="1"/>
      <c r="O139" s="1"/>
      <c r="P139" s="1"/>
      <c r="Q139" s="1"/>
      <c r="R139" s="1"/>
      <c r="S139" s="1"/>
    </row>
    <row r="140" spans="1:19" s="62" customFormat="1">
      <c r="A140" s="1"/>
      <c r="B140" s="167" t="s">
        <v>19</v>
      </c>
      <c r="C140" s="168"/>
      <c r="D140" s="140"/>
      <c r="E140" s="168"/>
      <c r="F140" s="168"/>
      <c r="G140" s="169"/>
      <c r="H140" s="168"/>
      <c r="I140" s="141"/>
      <c r="J140" s="142"/>
      <c r="K140" s="170"/>
      <c r="N140" s="1"/>
      <c r="O140" s="1"/>
      <c r="P140" s="1"/>
      <c r="Q140" s="1"/>
      <c r="R140" s="1"/>
      <c r="S140" s="1"/>
    </row>
    <row r="141" spans="1:19" s="62" customFormat="1" ht="56.25">
      <c r="A141" s="1"/>
      <c r="B141" s="216" t="s">
        <v>110</v>
      </c>
      <c r="C141" s="133"/>
      <c r="D141" s="134"/>
      <c r="E141" s="133">
        <v>0.47699999999999998</v>
      </c>
      <c r="F141" s="133"/>
      <c r="G141" s="134"/>
      <c r="H141" s="133">
        <v>5.0461999999999998</v>
      </c>
      <c r="I141" s="135">
        <f t="shared" si="4"/>
        <v>4.5691999999999995</v>
      </c>
      <c r="J141" s="136">
        <f t="shared" si="5"/>
        <v>90.547342554793701</v>
      </c>
      <c r="K141" s="216" t="s">
        <v>372</v>
      </c>
      <c r="L141" s="62">
        <f>+L142+L143</f>
        <v>0</v>
      </c>
      <c r="N141" s="1"/>
      <c r="O141" s="1"/>
      <c r="P141" s="1"/>
      <c r="Q141" s="1"/>
      <c r="R141" s="1"/>
      <c r="S141" s="1"/>
    </row>
    <row r="142" spans="1:19" s="62" customFormat="1">
      <c r="A142" s="1"/>
      <c r="B142" s="171" t="s">
        <v>354</v>
      </c>
      <c r="C142" s="168"/>
      <c r="D142" s="140"/>
      <c r="E142" s="168"/>
      <c r="F142" s="168"/>
      <c r="G142" s="169"/>
      <c r="H142" s="168"/>
      <c r="I142" s="141"/>
      <c r="J142" s="142"/>
      <c r="K142" s="170"/>
      <c r="N142" s="1"/>
      <c r="O142" s="1"/>
      <c r="P142" s="1"/>
      <c r="Q142" s="1"/>
      <c r="R142" s="1"/>
      <c r="S142" s="1"/>
    </row>
    <row r="143" spans="1:19" s="62" customFormat="1">
      <c r="A143" s="1"/>
      <c r="B143" s="171" t="s">
        <v>18</v>
      </c>
      <c r="C143" s="168"/>
      <c r="D143" s="140"/>
      <c r="E143" s="168"/>
      <c r="F143" s="168"/>
      <c r="G143" s="169"/>
      <c r="H143" s="168"/>
      <c r="I143" s="141"/>
      <c r="J143" s="142"/>
      <c r="K143" s="170"/>
      <c r="N143" s="1"/>
      <c r="O143" s="1"/>
      <c r="P143" s="1"/>
      <c r="Q143" s="1"/>
      <c r="R143" s="1"/>
      <c r="S143" s="1"/>
    </row>
    <row r="144" spans="1:19" s="62" customFormat="1">
      <c r="A144" s="1"/>
      <c r="B144" s="167" t="s">
        <v>22</v>
      </c>
      <c r="C144" s="168"/>
      <c r="D144" s="140"/>
      <c r="E144" s="168"/>
      <c r="F144" s="168"/>
      <c r="G144" s="169"/>
      <c r="H144" s="168"/>
      <c r="I144" s="141"/>
      <c r="J144" s="142"/>
      <c r="K144" s="170"/>
      <c r="N144" s="1"/>
      <c r="O144" s="1"/>
      <c r="P144" s="1"/>
      <c r="Q144" s="1"/>
      <c r="R144" s="1"/>
      <c r="S144" s="1"/>
    </row>
    <row r="145" spans="1:19" s="62" customFormat="1">
      <c r="A145" s="1"/>
      <c r="B145" s="167" t="s">
        <v>48</v>
      </c>
      <c r="C145" s="168"/>
      <c r="D145" s="140"/>
      <c r="E145" s="168"/>
      <c r="F145" s="168"/>
      <c r="G145" s="169"/>
      <c r="H145" s="168"/>
      <c r="I145" s="141"/>
      <c r="J145" s="142"/>
      <c r="K145" s="170"/>
      <c r="N145" s="1"/>
      <c r="O145" s="1"/>
      <c r="P145" s="1"/>
      <c r="Q145" s="1"/>
      <c r="R145" s="1"/>
      <c r="S145" s="1"/>
    </row>
    <row r="146" spans="1:19" s="62" customFormat="1">
      <c r="A146" s="1"/>
      <c r="B146" s="171" t="s">
        <v>23</v>
      </c>
      <c r="C146" s="168"/>
      <c r="D146" s="140"/>
      <c r="E146" s="168"/>
      <c r="F146" s="168"/>
      <c r="G146" s="169"/>
      <c r="H146" s="168"/>
      <c r="I146" s="141"/>
      <c r="J146" s="142"/>
      <c r="K146" s="170"/>
      <c r="N146" s="1"/>
      <c r="O146" s="1"/>
      <c r="P146" s="1"/>
      <c r="Q146" s="1"/>
      <c r="R146" s="1"/>
      <c r="S146" s="1"/>
    </row>
    <row r="147" spans="1:19" s="62" customFormat="1">
      <c r="A147" s="1"/>
      <c r="B147" s="167" t="s">
        <v>20</v>
      </c>
      <c r="C147" s="168"/>
      <c r="D147" s="140"/>
      <c r="E147" s="168"/>
      <c r="F147" s="168"/>
      <c r="G147" s="169"/>
      <c r="H147" s="168"/>
      <c r="I147" s="141"/>
      <c r="J147" s="142"/>
      <c r="K147" s="170"/>
      <c r="N147" s="1"/>
      <c r="O147" s="1"/>
      <c r="P147" s="1"/>
      <c r="Q147" s="1"/>
      <c r="R147" s="1"/>
      <c r="S147" s="1"/>
    </row>
    <row r="148" spans="1:19" s="62" customFormat="1">
      <c r="A148" s="1"/>
      <c r="B148" s="167" t="s">
        <v>48</v>
      </c>
      <c r="C148" s="168"/>
      <c r="D148" s="140"/>
      <c r="E148" s="168"/>
      <c r="F148" s="168"/>
      <c r="G148" s="169"/>
      <c r="H148" s="168"/>
      <c r="I148" s="141"/>
      <c r="J148" s="142"/>
      <c r="K148" s="170"/>
      <c r="N148" s="1"/>
      <c r="O148" s="1"/>
      <c r="P148" s="1"/>
      <c r="Q148" s="1"/>
      <c r="R148" s="1"/>
      <c r="S148" s="1"/>
    </row>
    <row r="149" spans="1:19" s="62" customFormat="1">
      <c r="A149" s="1"/>
      <c r="B149" s="171" t="s">
        <v>23</v>
      </c>
      <c r="C149" s="168"/>
      <c r="D149" s="140"/>
      <c r="E149" s="168"/>
      <c r="F149" s="168"/>
      <c r="G149" s="169"/>
      <c r="H149" s="168"/>
      <c r="I149" s="141"/>
      <c r="J149" s="142"/>
      <c r="K149" s="170"/>
      <c r="N149" s="1"/>
      <c r="O149" s="1"/>
      <c r="P149" s="1"/>
      <c r="Q149" s="1"/>
      <c r="R149" s="1"/>
      <c r="S149" s="1"/>
    </row>
    <row r="150" spans="1:19" s="62" customFormat="1">
      <c r="A150" s="1"/>
      <c r="B150" s="179" t="s">
        <v>49</v>
      </c>
      <c r="C150" s="180"/>
      <c r="D150" s="181"/>
      <c r="E150" s="180">
        <f>+E152</f>
        <v>0</v>
      </c>
      <c r="F150" s="180"/>
      <c r="G150" s="181"/>
      <c r="H150" s="180">
        <f>+H152</f>
        <v>0</v>
      </c>
      <c r="I150" s="182"/>
      <c r="J150" s="183"/>
      <c r="K150" s="184"/>
      <c r="N150" s="1"/>
      <c r="O150" s="1"/>
      <c r="P150" s="1"/>
      <c r="Q150" s="1"/>
      <c r="R150" s="1"/>
      <c r="S150" s="1"/>
    </row>
    <row r="151" spans="1:19" s="62" customFormat="1">
      <c r="A151" s="1"/>
      <c r="B151" s="167" t="s">
        <v>19</v>
      </c>
      <c r="C151" s="168"/>
      <c r="D151" s="140"/>
      <c r="E151" s="168"/>
      <c r="F151" s="168"/>
      <c r="G151" s="169"/>
      <c r="H151" s="168"/>
      <c r="I151" s="141"/>
      <c r="J151" s="142"/>
      <c r="K151" s="170"/>
      <c r="N151" s="1"/>
      <c r="O151" s="1"/>
      <c r="P151" s="1"/>
      <c r="Q151" s="1"/>
      <c r="R151" s="1"/>
      <c r="S151" s="1"/>
    </row>
    <row r="152" spans="1:19" s="62" customFormat="1">
      <c r="A152" s="1"/>
      <c r="B152" s="216" t="s">
        <v>50</v>
      </c>
      <c r="C152" s="133"/>
      <c r="D152" s="134"/>
      <c r="E152" s="133"/>
      <c r="F152" s="133"/>
      <c r="G152" s="134"/>
      <c r="H152" s="133"/>
      <c r="I152" s="182"/>
      <c r="J152" s="183"/>
      <c r="K152" s="137"/>
      <c r="N152" s="1"/>
      <c r="O152" s="1"/>
      <c r="P152" s="1"/>
      <c r="Q152" s="1"/>
      <c r="R152" s="1"/>
      <c r="S152" s="1"/>
    </row>
    <row r="153" spans="1:19" s="62" customFormat="1">
      <c r="A153" s="1"/>
      <c r="B153" s="171" t="s">
        <v>17</v>
      </c>
      <c r="C153" s="168"/>
      <c r="D153" s="140"/>
      <c r="E153" s="168"/>
      <c r="F153" s="168"/>
      <c r="G153" s="169"/>
      <c r="H153" s="168"/>
      <c r="I153" s="141"/>
      <c r="J153" s="142"/>
      <c r="K153" s="170"/>
      <c r="N153" s="1"/>
      <c r="O153" s="1"/>
      <c r="P153" s="1"/>
      <c r="Q153" s="1"/>
      <c r="R153" s="1"/>
      <c r="S153" s="1"/>
    </row>
    <row r="154" spans="1:19" s="62" customFormat="1">
      <c r="A154" s="1"/>
      <c r="B154" s="171" t="s">
        <v>18</v>
      </c>
      <c r="C154" s="168"/>
      <c r="D154" s="140"/>
      <c r="E154" s="168"/>
      <c r="F154" s="168"/>
      <c r="G154" s="169"/>
      <c r="H154" s="168"/>
      <c r="I154" s="141"/>
      <c r="J154" s="142"/>
      <c r="K154" s="170"/>
      <c r="N154" s="1"/>
      <c r="O154" s="1"/>
      <c r="P154" s="1"/>
      <c r="Q154" s="1"/>
      <c r="R154" s="1"/>
      <c r="S154" s="1"/>
    </row>
    <row r="155" spans="1:19" s="62" customFormat="1">
      <c r="A155" s="1"/>
      <c r="B155" s="167" t="s">
        <v>22</v>
      </c>
      <c r="C155" s="168"/>
      <c r="D155" s="140"/>
      <c r="E155" s="168"/>
      <c r="F155" s="168"/>
      <c r="G155" s="169"/>
      <c r="H155" s="168"/>
      <c r="I155" s="141"/>
      <c r="J155" s="142"/>
      <c r="K155" s="170"/>
      <c r="N155" s="1"/>
      <c r="O155" s="1"/>
      <c r="P155" s="1"/>
      <c r="Q155" s="1"/>
      <c r="R155" s="1"/>
      <c r="S155" s="1"/>
    </row>
    <row r="156" spans="1:19" s="62" customFormat="1">
      <c r="A156" s="1"/>
      <c r="B156" s="167" t="s">
        <v>51</v>
      </c>
      <c r="C156" s="168"/>
      <c r="D156" s="140"/>
      <c r="E156" s="168"/>
      <c r="F156" s="168"/>
      <c r="G156" s="169"/>
      <c r="H156" s="168"/>
      <c r="I156" s="141"/>
      <c r="J156" s="142"/>
      <c r="K156" s="170"/>
      <c r="N156" s="1"/>
      <c r="O156" s="1"/>
      <c r="P156" s="1"/>
      <c r="Q156" s="1"/>
      <c r="R156" s="1"/>
      <c r="S156" s="1"/>
    </row>
    <row r="157" spans="1:19" s="62" customFormat="1">
      <c r="A157" s="1"/>
      <c r="B157" s="171" t="s">
        <v>23</v>
      </c>
      <c r="C157" s="168"/>
      <c r="D157" s="140"/>
      <c r="E157" s="168"/>
      <c r="F157" s="168"/>
      <c r="G157" s="169"/>
      <c r="H157" s="168"/>
      <c r="I157" s="141"/>
      <c r="J157" s="142"/>
      <c r="K157" s="170"/>
      <c r="N157" s="1"/>
      <c r="O157" s="1"/>
      <c r="P157" s="1"/>
      <c r="Q157" s="1"/>
      <c r="R157" s="1"/>
      <c r="S157" s="1"/>
    </row>
    <row r="158" spans="1:19" s="62" customFormat="1">
      <c r="A158" s="1"/>
      <c r="B158" s="167" t="s">
        <v>20</v>
      </c>
      <c r="C158" s="168"/>
      <c r="D158" s="140"/>
      <c r="E158" s="168"/>
      <c r="F158" s="168"/>
      <c r="G158" s="169"/>
      <c r="H158" s="168"/>
      <c r="I158" s="141"/>
      <c r="J158" s="142"/>
      <c r="K158" s="170"/>
      <c r="N158" s="1"/>
      <c r="O158" s="1"/>
      <c r="P158" s="1"/>
      <c r="Q158" s="1"/>
      <c r="R158" s="1"/>
      <c r="S158" s="1"/>
    </row>
    <row r="159" spans="1:19" s="62" customFormat="1">
      <c r="A159" s="1"/>
      <c r="B159" s="167" t="s">
        <v>51</v>
      </c>
      <c r="C159" s="168"/>
      <c r="D159" s="140"/>
      <c r="E159" s="168"/>
      <c r="F159" s="168"/>
      <c r="G159" s="169"/>
      <c r="H159" s="168"/>
      <c r="I159" s="141"/>
      <c r="J159" s="142"/>
      <c r="K159" s="170"/>
      <c r="N159" s="1"/>
      <c r="O159" s="1"/>
      <c r="P159" s="1"/>
      <c r="Q159" s="1"/>
      <c r="R159" s="1"/>
      <c r="S159" s="1"/>
    </row>
    <row r="160" spans="1:19" s="62" customFormat="1">
      <c r="A160" s="1"/>
      <c r="B160" s="171" t="s">
        <v>23</v>
      </c>
      <c r="C160" s="168"/>
      <c r="D160" s="140"/>
      <c r="E160" s="168"/>
      <c r="F160" s="168"/>
      <c r="G160" s="169"/>
      <c r="H160" s="168"/>
      <c r="I160" s="141"/>
      <c r="J160" s="142"/>
      <c r="K160" s="170"/>
      <c r="N160" s="1"/>
      <c r="O160" s="1"/>
      <c r="P160" s="1"/>
      <c r="Q160" s="1"/>
      <c r="R160" s="1"/>
      <c r="S160" s="1"/>
    </row>
    <row r="161" spans="1:19" s="62" customFormat="1">
      <c r="A161" s="1"/>
      <c r="B161" s="216" t="s">
        <v>53</v>
      </c>
      <c r="C161" s="133"/>
      <c r="D161" s="134"/>
      <c r="E161" s="133"/>
      <c r="F161" s="133"/>
      <c r="G161" s="134"/>
      <c r="H161" s="133"/>
      <c r="I161" s="135"/>
      <c r="J161" s="136"/>
      <c r="K161" s="137"/>
      <c r="N161" s="1"/>
      <c r="O161" s="1"/>
      <c r="P161" s="1"/>
      <c r="Q161" s="1"/>
      <c r="R161" s="1"/>
      <c r="S161" s="1"/>
    </row>
    <row r="162" spans="1:19" s="62" customFormat="1">
      <c r="A162" s="1"/>
      <c r="B162" s="167" t="s">
        <v>52</v>
      </c>
      <c r="C162" s="168"/>
      <c r="D162" s="140"/>
      <c r="E162" s="168"/>
      <c r="F162" s="168"/>
      <c r="G162" s="169"/>
      <c r="H162" s="168"/>
      <c r="I162" s="141"/>
      <c r="J162" s="142"/>
      <c r="K162" s="170"/>
      <c r="N162" s="1"/>
      <c r="O162" s="1"/>
      <c r="P162" s="1"/>
      <c r="Q162" s="1"/>
      <c r="R162" s="1"/>
      <c r="S162" s="1"/>
    </row>
    <row r="163" spans="1:19" s="62" customFormat="1" ht="37.5">
      <c r="A163" s="1"/>
      <c r="B163" s="167" t="s">
        <v>54</v>
      </c>
      <c r="C163" s="168"/>
      <c r="D163" s="140"/>
      <c r="E163" s="168"/>
      <c r="F163" s="168"/>
      <c r="G163" s="169"/>
      <c r="H163" s="168"/>
      <c r="I163" s="141"/>
      <c r="J163" s="142"/>
      <c r="K163" s="170"/>
      <c r="N163" s="1"/>
      <c r="O163" s="1"/>
      <c r="P163" s="1"/>
      <c r="Q163" s="1"/>
      <c r="R163" s="1"/>
      <c r="S163" s="1"/>
    </row>
    <row r="164" spans="1:19" s="62" customFormat="1">
      <c r="A164" s="1"/>
      <c r="B164" s="167" t="s">
        <v>55</v>
      </c>
      <c r="C164" s="168"/>
      <c r="D164" s="140"/>
      <c r="E164" s="168"/>
      <c r="F164" s="168"/>
      <c r="G164" s="169"/>
      <c r="H164" s="168"/>
      <c r="I164" s="141"/>
      <c r="J164" s="142"/>
      <c r="K164" s="170"/>
      <c r="N164" s="1"/>
      <c r="O164" s="1"/>
      <c r="P164" s="1"/>
      <c r="Q164" s="1"/>
      <c r="R164" s="1"/>
      <c r="S164" s="1"/>
    </row>
    <row r="165" spans="1:19" s="62" customFormat="1" ht="37.5">
      <c r="A165" s="1"/>
      <c r="B165" s="167" t="s">
        <v>54</v>
      </c>
      <c r="C165" s="168"/>
      <c r="D165" s="140"/>
      <c r="E165" s="168"/>
      <c r="F165" s="168"/>
      <c r="G165" s="169"/>
      <c r="H165" s="168"/>
      <c r="I165" s="141"/>
      <c r="J165" s="142"/>
      <c r="K165" s="170"/>
      <c r="N165" s="1"/>
      <c r="O165" s="1"/>
      <c r="P165" s="1"/>
      <c r="Q165" s="1"/>
      <c r="R165" s="1"/>
      <c r="S165" s="1"/>
    </row>
    <row r="166" spans="1:19" s="62" customFormat="1">
      <c r="A166" s="1"/>
      <c r="B166" s="185" t="s">
        <v>56</v>
      </c>
      <c r="C166" s="145"/>
      <c r="D166" s="146"/>
      <c r="E166" s="145">
        <f>+E167</f>
        <v>0</v>
      </c>
      <c r="F166" s="145"/>
      <c r="G166" s="146"/>
      <c r="H166" s="145">
        <f>+H167+H169+H170</f>
        <v>4.609</v>
      </c>
      <c r="I166" s="147">
        <f t="shared" si="4"/>
        <v>4.609</v>
      </c>
      <c r="J166" s="148">
        <f t="shared" si="5"/>
        <v>100</v>
      </c>
      <c r="K166" s="149"/>
      <c r="N166" s="1"/>
      <c r="O166" s="1"/>
      <c r="P166" s="1"/>
      <c r="Q166" s="1"/>
      <c r="R166" s="1"/>
      <c r="S166" s="1"/>
    </row>
    <row r="167" spans="1:19" s="62" customFormat="1">
      <c r="A167" s="1"/>
      <c r="B167" s="167" t="s">
        <v>286</v>
      </c>
      <c r="C167" s="168"/>
      <c r="D167" s="140"/>
      <c r="E167" s="168"/>
      <c r="F167" s="168"/>
      <c r="G167" s="169"/>
      <c r="H167" s="227">
        <f>SUM(H168:H168)</f>
        <v>3.109</v>
      </c>
      <c r="I167" s="141">
        <f t="shared" si="4"/>
        <v>3.109</v>
      </c>
      <c r="J167" s="142">
        <f t="shared" si="5"/>
        <v>100</v>
      </c>
      <c r="K167" s="170"/>
      <c r="N167" s="1"/>
      <c r="O167" s="1"/>
      <c r="P167" s="1"/>
      <c r="Q167" s="1"/>
      <c r="R167" s="1"/>
      <c r="S167" s="1"/>
    </row>
    <row r="168" spans="1:19" s="62" customFormat="1" ht="37.5">
      <c r="A168" s="1"/>
      <c r="B168" s="167" t="s">
        <v>287</v>
      </c>
      <c r="C168" s="168"/>
      <c r="D168" s="140"/>
      <c r="E168" s="168"/>
      <c r="F168" s="168"/>
      <c r="G168" s="169"/>
      <c r="H168" s="227">
        <v>3.109</v>
      </c>
      <c r="I168" s="141">
        <f t="shared" si="4"/>
        <v>3.109</v>
      </c>
      <c r="J168" s="142">
        <f t="shared" si="5"/>
        <v>100</v>
      </c>
      <c r="K168" s="167" t="s">
        <v>288</v>
      </c>
      <c r="L168" s="195"/>
      <c r="N168" s="1"/>
      <c r="O168" s="1"/>
      <c r="P168" s="1"/>
      <c r="Q168" s="1"/>
      <c r="R168" s="1"/>
      <c r="S168" s="1"/>
    </row>
    <row r="169" spans="1:19" s="62" customFormat="1" ht="75">
      <c r="A169" s="1"/>
      <c r="B169" s="167" t="s">
        <v>373</v>
      </c>
      <c r="C169" s="168"/>
      <c r="D169" s="140"/>
      <c r="E169" s="168"/>
      <c r="F169" s="168"/>
      <c r="G169" s="169"/>
      <c r="H169" s="227">
        <v>0.5</v>
      </c>
      <c r="I169" s="141">
        <f t="shared" si="4"/>
        <v>0.5</v>
      </c>
      <c r="J169" s="142">
        <f t="shared" si="5"/>
        <v>100</v>
      </c>
      <c r="K169" s="167" t="s">
        <v>370</v>
      </c>
      <c r="L169" s="195"/>
      <c r="N169" s="1"/>
      <c r="O169" s="1"/>
      <c r="P169" s="1"/>
      <c r="Q169" s="1"/>
      <c r="R169" s="1"/>
      <c r="S169" s="1"/>
    </row>
    <row r="170" spans="1:19" s="62" customFormat="1" ht="187.5">
      <c r="A170" s="1"/>
      <c r="B170" s="167" t="s">
        <v>374</v>
      </c>
      <c r="C170" s="168"/>
      <c r="D170" s="140"/>
      <c r="E170" s="168"/>
      <c r="F170" s="168"/>
      <c r="G170" s="169"/>
      <c r="H170" s="227">
        <v>1</v>
      </c>
      <c r="I170" s="141">
        <f t="shared" si="4"/>
        <v>1</v>
      </c>
      <c r="J170" s="142">
        <f t="shared" si="5"/>
        <v>100</v>
      </c>
      <c r="K170" s="167" t="s">
        <v>371</v>
      </c>
      <c r="L170" s="195"/>
      <c r="N170" s="1"/>
      <c r="O170" s="1"/>
      <c r="P170" s="1"/>
      <c r="Q170" s="1"/>
      <c r="R170" s="1"/>
      <c r="S170" s="1"/>
    </row>
    <row r="171" spans="1:19" s="62" customFormat="1">
      <c r="A171" s="1"/>
      <c r="B171" s="167"/>
      <c r="C171" s="168"/>
      <c r="D171" s="140"/>
      <c r="E171" s="168"/>
      <c r="F171" s="168"/>
      <c r="G171" s="169"/>
      <c r="H171" s="168"/>
      <c r="I171" s="141"/>
      <c r="J171" s="142"/>
      <c r="K171" s="167"/>
      <c r="L171" s="195"/>
      <c r="N171" s="1"/>
      <c r="O171" s="1"/>
      <c r="P171" s="1"/>
      <c r="Q171" s="1"/>
      <c r="R171" s="1"/>
      <c r="S171" s="1"/>
    </row>
    <row r="172" spans="1:19" s="62" customFormat="1">
      <c r="A172" s="1"/>
      <c r="B172" s="170"/>
      <c r="C172" s="170"/>
      <c r="D172" s="170"/>
      <c r="E172" s="170"/>
      <c r="F172" s="170"/>
      <c r="G172" s="170"/>
      <c r="H172" s="170"/>
      <c r="I172" s="141"/>
      <c r="J172" s="142"/>
      <c r="K172" s="170"/>
      <c r="L172" s="195"/>
      <c r="N172" s="1"/>
      <c r="O172" s="1"/>
      <c r="P172" s="1"/>
      <c r="Q172" s="1"/>
      <c r="R172" s="1"/>
      <c r="S172" s="1"/>
    </row>
    <row r="173" spans="1:19" s="62" customFormat="1" ht="50.25" customHeight="1">
      <c r="A173" s="16"/>
      <c r="B173" s="254" t="s">
        <v>126</v>
      </c>
      <c r="C173" s="180"/>
      <c r="D173" s="181"/>
      <c r="E173" s="180">
        <f>+E175+E270+E293+E298</f>
        <v>31.344699999999996</v>
      </c>
      <c r="F173" s="180"/>
      <c r="G173" s="181"/>
      <c r="H173" s="180">
        <f>+H175+H270+H293+H298</f>
        <v>80.462600000000023</v>
      </c>
      <c r="I173" s="182">
        <f t="shared" si="4"/>
        <v>49.117900000000027</v>
      </c>
      <c r="J173" s="183">
        <f t="shared" si="5"/>
        <v>61.044385838886654</v>
      </c>
      <c r="K173" s="184"/>
      <c r="N173" s="1"/>
      <c r="O173" s="1"/>
      <c r="P173" s="1"/>
      <c r="Q173" s="1"/>
      <c r="R173" s="1"/>
      <c r="S173" s="1"/>
    </row>
    <row r="174" spans="1:19" s="62" customFormat="1" ht="27.75" customHeight="1">
      <c r="A174" s="1"/>
      <c r="B174" s="215" t="s">
        <v>94</v>
      </c>
      <c r="C174" s="168"/>
      <c r="D174" s="169"/>
      <c r="E174" s="172"/>
      <c r="F174" s="139"/>
      <c r="G174" s="140"/>
      <c r="H174" s="172"/>
      <c r="I174" s="141">
        <f t="shared" si="4"/>
        <v>0</v>
      </c>
      <c r="J174" s="142"/>
      <c r="K174" s="143"/>
      <c r="N174" s="1"/>
      <c r="O174" s="1"/>
      <c r="P174" s="1"/>
      <c r="Q174" s="1"/>
      <c r="R174" s="1"/>
      <c r="S174" s="1"/>
    </row>
    <row r="175" spans="1:19" s="62" customFormat="1">
      <c r="A175" s="1"/>
      <c r="B175" s="177" t="s">
        <v>38</v>
      </c>
      <c r="C175" s="121"/>
      <c r="D175" s="122"/>
      <c r="E175" s="121">
        <f>+E176+E264</f>
        <v>25.344699999999996</v>
      </c>
      <c r="F175" s="121"/>
      <c r="G175" s="122"/>
      <c r="H175" s="121">
        <f>+H176+H264</f>
        <v>69.222400000000022</v>
      </c>
      <c r="I175" s="123">
        <f t="shared" si="4"/>
        <v>43.877700000000026</v>
      </c>
      <c r="J175" s="124">
        <f t="shared" si="5"/>
        <v>63.386562731139065</v>
      </c>
      <c r="K175" s="125"/>
      <c r="N175" s="1"/>
      <c r="O175" s="1"/>
      <c r="P175" s="1"/>
      <c r="Q175" s="1"/>
      <c r="R175" s="1"/>
      <c r="S175" s="1"/>
    </row>
    <row r="176" spans="1:19" s="62" customFormat="1">
      <c r="A176" s="1"/>
      <c r="B176" s="179" t="s">
        <v>41</v>
      </c>
      <c r="C176" s="180"/>
      <c r="D176" s="181"/>
      <c r="E176" s="180">
        <f>+E177+E193+E256</f>
        <v>25.344699999999996</v>
      </c>
      <c r="F176" s="180"/>
      <c r="G176" s="181"/>
      <c r="H176" s="180">
        <f>+H177+H193+H256</f>
        <v>69.222400000000022</v>
      </c>
      <c r="I176" s="182">
        <f t="shared" si="4"/>
        <v>43.877700000000026</v>
      </c>
      <c r="J176" s="183">
        <f t="shared" si="5"/>
        <v>63.386562731139065</v>
      </c>
      <c r="K176" s="184"/>
      <c r="L176" s="82"/>
      <c r="N176" s="1"/>
      <c r="O176" s="1"/>
      <c r="P176" s="1"/>
      <c r="Q176" s="1"/>
      <c r="R176" s="1"/>
      <c r="S176" s="1"/>
    </row>
    <row r="177" spans="1:19" s="62" customFormat="1">
      <c r="A177" s="1"/>
      <c r="B177" s="216" t="s">
        <v>42</v>
      </c>
      <c r="C177" s="133"/>
      <c r="D177" s="134"/>
      <c r="E177" s="133">
        <f>SUM(E178:E187)</f>
        <v>8.5722999999999985</v>
      </c>
      <c r="F177" s="133"/>
      <c r="G177" s="134"/>
      <c r="H177" s="133">
        <f>SUM(H178:H187)</f>
        <v>3.3399000000000005</v>
      </c>
      <c r="I177" s="135">
        <f t="shared" si="4"/>
        <v>-5.2323999999999984</v>
      </c>
      <c r="J177" s="136">
        <f t="shared" si="5"/>
        <v>-156.66337315488479</v>
      </c>
      <c r="K177" s="137"/>
      <c r="N177" s="1"/>
      <c r="O177" s="1"/>
      <c r="P177" s="1"/>
      <c r="Q177" s="1"/>
      <c r="R177" s="1"/>
      <c r="S177" s="1"/>
    </row>
    <row r="178" spans="1:19" s="62" customFormat="1">
      <c r="A178" s="1"/>
      <c r="B178" s="171" t="s">
        <v>112</v>
      </c>
      <c r="C178" s="168"/>
      <c r="D178" s="140"/>
      <c r="E178" s="168">
        <v>0.2</v>
      </c>
      <c r="F178" s="168"/>
      <c r="G178" s="169"/>
      <c r="H178" s="168">
        <v>0.18</v>
      </c>
      <c r="I178" s="141">
        <f t="shared" si="4"/>
        <v>-2.0000000000000018E-2</v>
      </c>
      <c r="J178" s="142">
        <f t="shared" si="5"/>
        <v>-11.111111111111121</v>
      </c>
      <c r="K178" s="170" t="s">
        <v>425</v>
      </c>
      <c r="N178" s="1"/>
      <c r="O178" s="1"/>
      <c r="P178" s="1"/>
      <c r="Q178" s="1"/>
      <c r="R178" s="1"/>
      <c r="S178" s="1"/>
    </row>
    <row r="179" spans="1:19" s="62" customFormat="1" ht="37.5">
      <c r="A179" s="1"/>
      <c r="B179" s="171"/>
      <c r="C179" s="168"/>
      <c r="D179" s="140"/>
      <c r="E179" s="168"/>
      <c r="F179" s="168"/>
      <c r="G179" s="169"/>
      <c r="H179" s="168"/>
      <c r="I179" s="141"/>
      <c r="J179" s="142"/>
      <c r="K179" s="228" t="s">
        <v>426</v>
      </c>
      <c r="L179" s="62">
        <v>180000</v>
      </c>
      <c r="N179" s="1"/>
      <c r="O179" s="1"/>
      <c r="P179" s="1"/>
      <c r="Q179" s="1"/>
      <c r="R179" s="1"/>
      <c r="S179" s="1"/>
    </row>
    <row r="180" spans="1:19" s="62" customFormat="1">
      <c r="A180" s="1"/>
      <c r="B180" s="171"/>
      <c r="C180" s="168"/>
      <c r="D180" s="140"/>
      <c r="E180" s="168"/>
      <c r="F180" s="168"/>
      <c r="G180" s="169"/>
      <c r="H180" s="168"/>
      <c r="I180" s="141"/>
      <c r="J180" s="142"/>
      <c r="K180" s="170"/>
      <c r="N180" s="1"/>
      <c r="O180" s="1"/>
      <c r="P180" s="1"/>
      <c r="Q180" s="1"/>
      <c r="R180" s="1"/>
      <c r="S180" s="1"/>
    </row>
    <row r="181" spans="1:19" s="62" customFormat="1">
      <c r="A181" s="1"/>
      <c r="B181" s="171"/>
      <c r="C181" s="168"/>
      <c r="D181" s="140"/>
      <c r="E181" s="168"/>
      <c r="F181" s="168"/>
      <c r="G181" s="169"/>
      <c r="H181" s="168"/>
      <c r="I181" s="141"/>
      <c r="J181" s="142"/>
      <c r="K181" s="170"/>
      <c r="N181" s="1"/>
      <c r="O181" s="1"/>
      <c r="P181" s="1"/>
      <c r="Q181" s="1"/>
      <c r="R181" s="1"/>
      <c r="S181" s="1"/>
    </row>
    <row r="182" spans="1:19" s="62" customFormat="1">
      <c r="A182" s="1"/>
      <c r="B182" s="171"/>
      <c r="C182" s="168"/>
      <c r="D182" s="140"/>
      <c r="E182" s="168"/>
      <c r="F182" s="168"/>
      <c r="G182" s="169"/>
      <c r="H182" s="168"/>
      <c r="I182" s="141"/>
      <c r="J182" s="142"/>
      <c r="K182" s="170"/>
      <c r="N182" s="1"/>
      <c r="O182" s="1"/>
      <c r="P182" s="1"/>
      <c r="Q182" s="1"/>
      <c r="R182" s="1"/>
      <c r="S182" s="1"/>
    </row>
    <row r="183" spans="1:19" s="62" customFormat="1">
      <c r="A183" s="1"/>
      <c r="B183" s="171"/>
      <c r="C183" s="168"/>
      <c r="D183" s="140"/>
      <c r="E183" s="168"/>
      <c r="F183" s="168"/>
      <c r="G183" s="169"/>
      <c r="H183" s="168"/>
      <c r="I183" s="141"/>
      <c r="J183" s="142"/>
      <c r="K183" s="170"/>
      <c r="N183" s="1"/>
      <c r="O183" s="1"/>
      <c r="P183" s="1"/>
      <c r="Q183" s="1"/>
      <c r="R183" s="1"/>
      <c r="S183" s="1"/>
    </row>
    <row r="184" spans="1:19" s="62" customFormat="1" ht="37.5">
      <c r="A184" s="1"/>
      <c r="B184" s="171" t="s">
        <v>113</v>
      </c>
      <c r="C184" s="168"/>
      <c r="D184" s="140"/>
      <c r="E184" s="168">
        <v>7.9672999999999998</v>
      </c>
      <c r="F184" s="168"/>
      <c r="G184" s="169"/>
      <c r="H184" s="168">
        <v>2.4073000000000002</v>
      </c>
      <c r="I184" s="141">
        <f t="shared" ref="I184:I236" si="6">+H184-E184</f>
        <v>-5.56</v>
      </c>
      <c r="J184" s="142">
        <f t="shared" ref="J184:J236" si="7">+I184*100/H184</f>
        <v>-230.96415070826234</v>
      </c>
      <c r="K184" s="228" t="s">
        <v>463</v>
      </c>
      <c r="L184" s="62">
        <v>2407300</v>
      </c>
      <c r="N184" s="1"/>
      <c r="O184" s="1"/>
      <c r="P184" s="1"/>
      <c r="Q184" s="1"/>
      <c r="R184" s="1"/>
      <c r="S184" s="1"/>
    </row>
    <row r="185" spans="1:19" s="62" customFormat="1">
      <c r="A185" s="1"/>
      <c r="B185" s="171"/>
      <c r="C185" s="168"/>
      <c r="D185" s="140"/>
      <c r="E185" s="168"/>
      <c r="F185" s="168"/>
      <c r="G185" s="169"/>
      <c r="H185" s="168"/>
      <c r="I185" s="141"/>
      <c r="J185" s="142"/>
      <c r="K185" s="175" t="s">
        <v>466</v>
      </c>
      <c r="L185" s="62">
        <v>382500</v>
      </c>
      <c r="N185" s="1"/>
      <c r="O185" s="1"/>
      <c r="P185" s="1"/>
      <c r="Q185" s="1"/>
      <c r="R185" s="1"/>
      <c r="S185" s="1"/>
    </row>
    <row r="186" spans="1:19" s="62" customFormat="1">
      <c r="A186" s="1"/>
      <c r="B186" s="171"/>
      <c r="C186" s="168"/>
      <c r="D186" s="140"/>
      <c r="E186" s="168"/>
      <c r="F186" s="168"/>
      <c r="G186" s="169"/>
      <c r="H186" s="168"/>
      <c r="I186" s="141"/>
      <c r="J186" s="142"/>
      <c r="K186" s="175"/>
      <c r="N186" s="1"/>
      <c r="O186" s="1"/>
      <c r="P186" s="1"/>
      <c r="Q186" s="1"/>
      <c r="R186" s="1"/>
      <c r="S186" s="1"/>
    </row>
    <row r="187" spans="1:19" s="62" customFormat="1" ht="75">
      <c r="A187" s="1"/>
      <c r="B187" s="171" t="s">
        <v>114</v>
      </c>
      <c r="C187" s="168"/>
      <c r="D187" s="140"/>
      <c r="E187" s="168">
        <v>0.40500000000000003</v>
      </c>
      <c r="F187" s="168"/>
      <c r="G187" s="169"/>
      <c r="H187" s="168">
        <f>0.65+0.1026</f>
        <v>0.75260000000000005</v>
      </c>
      <c r="I187" s="141">
        <f t="shared" si="6"/>
        <v>0.34760000000000002</v>
      </c>
      <c r="J187" s="142">
        <f t="shared" si="7"/>
        <v>46.186553281955888</v>
      </c>
      <c r="K187" s="167" t="s">
        <v>439</v>
      </c>
      <c r="L187" s="62">
        <f>SUM(L188:L192)</f>
        <v>450000</v>
      </c>
      <c r="N187" s="1"/>
      <c r="O187" s="1"/>
      <c r="P187" s="1"/>
      <c r="Q187" s="1"/>
      <c r="R187" s="1"/>
      <c r="S187" s="1"/>
    </row>
    <row r="188" spans="1:19" s="62" customFormat="1" ht="56.25">
      <c r="A188" s="1"/>
      <c r="B188" s="171"/>
      <c r="C188" s="168"/>
      <c r="D188" s="140"/>
      <c r="E188" s="168"/>
      <c r="F188" s="168"/>
      <c r="G188" s="169"/>
      <c r="H188" s="168"/>
      <c r="I188" s="141"/>
      <c r="J188" s="142"/>
      <c r="K188" s="167" t="s">
        <v>424</v>
      </c>
      <c r="L188" s="62">
        <v>144000</v>
      </c>
      <c r="N188" s="1"/>
      <c r="O188" s="1"/>
      <c r="P188" s="1"/>
      <c r="Q188" s="1"/>
      <c r="R188" s="1"/>
      <c r="S188" s="1"/>
    </row>
    <row r="189" spans="1:19" s="62" customFormat="1" ht="37.5">
      <c r="A189" s="1"/>
      <c r="B189" s="171"/>
      <c r="C189" s="168"/>
      <c r="D189" s="140"/>
      <c r="E189" s="168"/>
      <c r="F189" s="168"/>
      <c r="G189" s="169"/>
      <c r="H189" s="168"/>
      <c r="I189" s="141"/>
      <c r="J189" s="142"/>
      <c r="K189" s="167" t="s">
        <v>438</v>
      </c>
      <c r="L189" s="62">
        <v>240000</v>
      </c>
      <c r="N189" s="1"/>
      <c r="O189" s="1"/>
      <c r="P189" s="1"/>
      <c r="Q189" s="1"/>
      <c r="R189" s="1"/>
      <c r="S189" s="1"/>
    </row>
    <row r="190" spans="1:19" s="62" customFormat="1" ht="37.5">
      <c r="A190" s="1"/>
      <c r="B190" s="171"/>
      <c r="C190" s="168"/>
      <c r="D190" s="140"/>
      <c r="E190" s="168"/>
      <c r="F190" s="168"/>
      <c r="G190" s="169"/>
      <c r="H190" s="168"/>
      <c r="I190" s="141"/>
      <c r="J190" s="142"/>
      <c r="K190" s="167" t="s">
        <v>459</v>
      </c>
      <c r="L190" s="62">
        <v>46800</v>
      </c>
      <c r="N190" s="1"/>
      <c r="O190" s="1"/>
      <c r="P190" s="1"/>
      <c r="Q190" s="1"/>
      <c r="R190" s="1"/>
      <c r="S190" s="1"/>
    </row>
    <row r="191" spans="1:19" s="62" customFormat="1">
      <c r="A191" s="1"/>
      <c r="B191" s="171"/>
      <c r="C191" s="168"/>
      <c r="D191" s="140"/>
      <c r="E191" s="168"/>
      <c r="F191" s="168"/>
      <c r="G191" s="169"/>
      <c r="H191" s="168"/>
      <c r="I191" s="141"/>
      <c r="J191" s="142"/>
      <c r="K191" s="167" t="s">
        <v>460</v>
      </c>
      <c r="N191" s="1"/>
      <c r="O191" s="1"/>
      <c r="P191" s="1"/>
      <c r="Q191" s="1"/>
      <c r="R191" s="1"/>
      <c r="S191" s="1"/>
    </row>
    <row r="192" spans="1:19" s="62" customFormat="1" ht="56.25">
      <c r="A192" s="1"/>
      <c r="B192" s="171"/>
      <c r="C192" s="168"/>
      <c r="D192" s="140"/>
      <c r="E192" s="168"/>
      <c r="F192" s="168"/>
      <c r="G192" s="169"/>
      <c r="H192" s="168"/>
      <c r="I192" s="141"/>
      <c r="J192" s="142"/>
      <c r="K192" s="167" t="s">
        <v>479</v>
      </c>
      <c r="L192" s="62">
        <v>19200</v>
      </c>
      <c r="N192" s="1"/>
      <c r="O192" s="1"/>
      <c r="P192" s="1"/>
      <c r="Q192" s="1"/>
      <c r="R192" s="1"/>
      <c r="S192" s="1"/>
    </row>
    <row r="193" spans="1:19" s="62" customFormat="1">
      <c r="A193" s="1"/>
      <c r="B193" s="216" t="s">
        <v>43</v>
      </c>
      <c r="C193" s="133"/>
      <c r="D193" s="134"/>
      <c r="E193" s="133">
        <f>SUM(E195:E241)</f>
        <v>14.631600000000001</v>
      </c>
      <c r="F193" s="133"/>
      <c r="G193" s="134"/>
      <c r="H193" s="133">
        <f>SUM(H195:H241)</f>
        <v>63.482500000000009</v>
      </c>
      <c r="I193" s="135">
        <f t="shared" si="6"/>
        <v>48.85090000000001</v>
      </c>
      <c r="J193" s="136">
        <f t="shared" si="7"/>
        <v>76.951758358602774</v>
      </c>
      <c r="K193" s="137"/>
      <c r="N193" s="1"/>
      <c r="O193" s="1"/>
      <c r="P193" s="1"/>
      <c r="Q193" s="1"/>
      <c r="R193" s="1"/>
      <c r="S193" s="1"/>
    </row>
    <row r="194" spans="1:19" s="62" customFormat="1">
      <c r="A194" s="1"/>
      <c r="B194" s="167" t="s">
        <v>19</v>
      </c>
      <c r="C194" s="168"/>
      <c r="D194" s="140"/>
      <c r="E194" s="168"/>
      <c r="F194" s="168"/>
      <c r="G194" s="169"/>
      <c r="H194" s="168"/>
      <c r="I194" s="168"/>
      <c r="J194" s="168"/>
      <c r="K194" s="170"/>
      <c r="N194" s="1"/>
      <c r="O194" s="1"/>
      <c r="P194" s="1"/>
      <c r="Q194" s="1"/>
      <c r="R194" s="1"/>
      <c r="S194" s="1"/>
    </row>
    <row r="195" spans="1:19" s="62" customFormat="1" ht="37.5">
      <c r="A195" s="1"/>
      <c r="B195" s="171" t="s">
        <v>85</v>
      </c>
      <c r="C195" s="168"/>
      <c r="D195" s="140"/>
      <c r="E195" s="168">
        <v>1.7763</v>
      </c>
      <c r="F195" s="168"/>
      <c r="G195" s="169"/>
      <c r="H195" s="168">
        <v>1.4148000000000001</v>
      </c>
      <c r="I195" s="141">
        <f t="shared" si="6"/>
        <v>-0.36149999999999993</v>
      </c>
      <c r="J195" s="142">
        <f t="shared" si="7"/>
        <v>-25.551314673452072</v>
      </c>
      <c r="K195" s="167" t="s">
        <v>427</v>
      </c>
      <c r="L195" s="62">
        <f>SUM(L196:L199)</f>
        <v>1414800</v>
      </c>
      <c r="N195" s="1"/>
      <c r="O195" s="1"/>
      <c r="P195" s="1"/>
      <c r="Q195" s="1"/>
      <c r="R195" s="1"/>
      <c r="S195" s="1"/>
    </row>
    <row r="196" spans="1:19" s="62" customFormat="1" ht="37.5">
      <c r="A196" s="1"/>
      <c r="B196" s="171"/>
      <c r="C196" s="168"/>
      <c r="D196" s="140"/>
      <c r="E196" s="168"/>
      <c r="F196" s="168"/>
      <c r="G196" s="169"/>
      <c r="H196" s="168"/>
      <c r="I196" s="141"/>
      <c r="J196" s="142"/>
      <c r="K196" s="217" t="s">
        <v>428</v>
      </c>
      <c r="L196" s="62">
        <v>1324800</v>
      </c>
      <c r="N196" s="1"/>
      <c r="O196" s="1"/>
      <c r="P196" s="1"/>
      <c r="Q196" s="1"/>
      <c r="R196" s="1"/>
      <c r="S196" s="1"/>
    </row>
    <row r="197" spans="1:19" s="62" customFormat="1" ht="37.5">
      <c r="A197" s="1"/>
      <c r="B197" s="171"/>
      <c r="C197" s="168"/>
      <c r="D197" s="140"/>
      <c r="E197" s="168"/>
      <c r="F197" s="168"/>
      <c r="G197" s="169"/>
      <c r="H197" s="168"/>
      <c r="I197" s="141"/>
      <c r="J197" s="142"/>
      <c r="K197" s="167" t="s">
        <v>440</v>
      </c>
      <c r="L197" s="62">
        <v>70000</v>
      </c>
      <c r="N197" s="1"/>
      <c r="O197" s="1"/>
      <c r="P197" s="1"/>
      <c r="Q197" s="1"/>
      <c r="R197" s="1"/>
      <c r="S197" s="1"/>
    </row>
    <row r="198" spans="1:19" s="62" customFormat="1" ht="37.5">
      <c r="A198" s="1"/>
      <c r="B198" s="171"/>
      <c r="C198" s="168"/>
      <c r="D198" s="140"/>
      <c r="E198" s="168"/>
      <c r="F198" s="168"/>
      <c r="G198" s="169"/>
      <c r="H198" s="168"/>
      <c r="I198" s="141"/>
      <c r="J198" s="142"/>
      <c r="K198" s="167" t="s">
        <v>472</v>
      </c>
      <c r="L198" s="62">
        <v>12000</v>
      </c>
      <c r="N198" s="1"/>
      <c r="O198" s="1"/>
      <c r="P198" s="1"/>
      <c r="Q198" s="1"/>
      <c r="R198" s="1"/>
      <c r="S198" s="1"/>
    </row>
    <row r="199" spans="1:19" s="62" customFormat="1" ht="56.25">
      <c r="A199" s="1"/>
      <c r="B199" s="171"/>
      <c r="C199" s="168"/>
      <c r="D199" s="140"/>
      <c r="E199" s="168"/>
      <c r="F199" s="168"/>
      <c r="G199" s="169"/>
      <c r="H199" s="168"/>
      <c r="I199" s="141"/>
      <c r="J199" s="142"/>
      <c r="K199" s="167" t="s">
        <v>480</v>
      </c>
      <c r="L199" s="62">
        <v>8000</v>
      </c>
      <c r="N199" s="1"/>
      <c r="O199" s="1"/>
      <c r="P199" s="1"/>
      <c r="Q199" s="1"/>
      <c r="R199" s="1"/>
      <c r="S199" s="1"/>
    </row>
    <row r="200" spans="1:19" s="62" customFormat="1" ht="37.5">
      <c r="A200" s="1"/>
      <c r="B200" s="171" t="s">
        <v>86</v>
      </c>
      <c r="C200" s="168"/>
      <c r="D200" s="140"/>
      <c r="E200" s="168">
        <v>6.4927000000000001</v>
      </c>
      <c r="F200" s="168"/>
      <c r="G200" s="169"/>
      <c r="H200" s="168">
        <f>11.1425-0.4</f>
        <v>10.7425</v>
      </c>
      <c r="I200" s="141">
        <f t="shared" si="6"/>
        <v>4.2497999999999996</v>
      </c>
      <c r="J200" s="142">
        <f t="shared" si="7"/>
        <v>39.560623690947168</v>
      </c>
      <c r="K200" s="167" t="s">
        <v>414</v>
      </c>
      <c r="L200" s="62">
        <f>SUM(L201:L222)</f>
        <v>11142500</v>
      </c>
      <c r="N200" s="1"/>
      <c r="O200" s="1"/>
      <c r="P200" s="1"/>
      <c r="Q200" s="1"/>
      <c r="R200" s="1"/>
      <c r="S200" s="1"/>
    </row>
    <row r="201" spans="1:19" s="62" customFormat="1" ht="37.5">
      <c r="A201" s="1"/>
      <c r="B201" s="171"/>
      <c r="C201" s="168"/>
      <c r="D201" s="140"/>
      <c r="E201" s="168"/>
      <c r="F201" s="168"/>
      <c r="G201" s="169"/>
      <c r="H201" s="168"/>
      <c r="I201" s="141"/>
      <c r="J201" s="142"/>
      <c r="K201" s="167" t="s">
        <v>415</v>
      </c>
      <c r="L201" s="62">
        <v>1000000</v>
      </c>
      <c r="N201" s="1"/>
      <c r="O201" s="1"/>
      <c r="P201" s="1"/>
      <c r="Q201" s="1"/>
      <c r="R201" s="1"/>
      <c r="S201" s="1"/>
    </row>
    <row r="202" spans="1:19" s="62" customFormat="1" ht="37.5">
      <c r="A202" s="1"/>
      <c r="B202" s="171"/>
      <c r="C202" s="168"/>
      <c r="D202" s="140"/>
      <c r="E202" s="168"/>
      <c r="F202" s="168"/>
      <c r="G202" s="169"/>
      <c r="H202" s="168"/>
      <c r="I202" s="141"/>
      <c r="J202" s="142"/>
      <c r="K202" s="167" t="s">
        <v>416</v>
      </c>
      <c r="L202" s="62">
        <v>2500000</v>
      </c>
      <c r="N202" s="1"/>
      <c r="O202" s="1"/>
      <c r="P202" s="1"/>
      <c r="Q202" s="1"/>
      <c r="R202" s="1"/>
      <c r="S202" s="1"/>
    </row>
    <row r="203" spans="1:19" s="62" customFormat="1" ht="56.25">
      <c r="A203" s="1"/>
      <c r="B203" s="171"/>
      <c r="C203" s="168"/>
      <c r="D203" s="140"/>
      <c r="E203" s="168"/>
      <c r="F203" s="168"/>
      <c r="G203" s="169"/>
      <c r="H203" s="168"/>
      <c r="I203" s="141"/>
      <c r="J203" s="142"/>
      <c r="K203" s="167" t="s">
        <v>417</v>
      </c>
      <c r="L203" s="62">
        <v>300000</v>
      </c>
      <c r="N203" s="1"/>
      <c r="O203" s="1"/>
      <c r="P203" s="1"/>
      <c r="Q203" s="1"/>
      <c r="R203" s="1"/>
      <c r="S203" s="1"/>
    </row>
    <row r="204" spans="1:19" s="62" customFormat="1" ht="56.25">
      <c r="A204" s="1"/>
      <c r="B204" s="171"/>
      <c r="C204" s="168"/>
      <c r="D204" s="140"/>
      <c r="E204" s="168"/>
      <c r="F204" s="168"/>
      <c r="G204" s="169"/>
      <c r="H204" s="168"/>
      <c r="I204" s="141"/>
      <c r="J204" s="142"/>
      <c r="K204" s="167" t="s">
        <v>418</v>
      </c>
      <c r="L204" s="62">
        <v>300000</v>
      </c>
      <c r="N204" s="1"/>
      <c r="O204" s="1"/>
      <c r="P204" s="1"/>
      <c r="Q204" s="1"/>
      <c r="R204" s="1"/>
      <c r="S204" s="1"/>
    </row>
    <row r="205" spans="1:19" s="62" customFormat="1" ht="56.25">
      <c r="A205" s="1"/>
      <c r="B205" s="171"/>
      <c r="C205" s="168"/>
      <c r="D205" s="140"/>
      <c r="E205" s="168"/>
      <c r="F205" s="168"/>
      <c r="G205" s="169"/>
      <c r="H205" s="168"/>
      <c r="I205" s="141"/>
      <c r="J205" s="142"/>
      <c r="K205" s="167" t="s">
        <v>419</v>
      </c>
      <c r="L205" s="62">
        <v>200000</v>
      </c>
      <c r="N205" s="1"/>
      <c r="O205" s="1"/>
      <c r="P205" s="1"/>
      <c r="Q205" s="1"/>
      <c r="R205" s="1"/>
      <c r="S205" s="1"/>
    </row>
    <row r="206" spans="1:19" s="62" customFormat="1" ht="37.5">
      <c r="A206" s="1"/>
      <c r="B206" s="171"/>
      <c r="C206" s="168"/>
      <c r="D206" s="140"/>
      <c r="E206" s="168"/>
      <c r="F206" s="168"/>
      <c r="G206" s="169"/>
      <c r="H206" s="168"/>
      <c r="I206" s="141"/>
      <c r="J206" s="142"/>
      <c r="K206" s="167" t="s">
        <v>436</v>
      </c>
      <c r="L206" s="62">
        <v>300000</v>
      </c>
      <c r="N206" s="1"/>
      <c r="O206" s="1"/>
      <c r="P206" s="1"/>
      <c r="Q206" s="1"/>
      <c r="R206" s="1"/>
      <c r="S206" s="1"/>
    </row>
    <row r="207" spans="1:19" s="62" customFormat="1" ht="56.25">
      <c r="A207" s="1"/>
      <c r="B207" s="171"/>
      <c r="C207" s="168"/>
      <c r="D207" s="140"/>
      <c r="E207" s="168"/>
      <c r="F207" s="168"/>
      <c r="G207" s="169"/>
      <c r="H207" s="168"/>
      <c r="I207" s="141"/>
      <c r="J207" s="142"/>
      <c r="K207" s="217" t="s">
        <v>437</v>
      </c>
      <c r="L207" s="62">
        <v>1800000</v>
      </c>
      <c r="N207" s="1"/>
      <c r="O207" s="1"/>
      <c r="P207" s="1"/>
      <c r="Q207" s="1"/>
      <c r="R207" s="1"/>
      <c r="S207" s="1"/>
    </row>
    <row r="208" spans="1:19" s="62" customFormat="1" ht="37.5">
      <c r="A208" s="1"/>
      <c r="B208" s="171"/>
      <c r="C208" s="168"/>
      <c r="D208" s="140"/>
      <c r="E208" s="168"/>
      <c r="F208" s="168"/>
      <c r="G208" s="169"/>
      <c r="H208" s="168"/>
      <c r="I208" s="141"/>
      <c r="J208" s="142"/>
      <c r="K208" s="217" t="s">
        <v>442</v>
      </c>
      <c r="L208" s="62">
        <v>50000</v>
      </c>
      <c r="N208" s="1"/>
      <c r="O208" s="1"/>
      <c r="P208" s="1"/>
      <c r="Q208" s="1"/>
      <c r="R208" s="1"/>
      <c r="S208" s="1"/>
    </row>
    <row r="209" spans="1:19" s="62" customFormat="1" ht="56.25">
      <c r="A209" s="1"/>
      <c r="B209" s="171"/>
      <c r="C209" s="168"/>
      <c r="D209" s="140"/>
      <c r="E209" s="168"/>
      <c r="F209" s="168"/>
      <c r="G209" s="169"/>
      <c r="H209" s="168"/>
      <c r="I209" s="141"/>
      <c r="J209" s="142"/>
      <c r="K209" s="217" t="s">
        <v>443</v>
      </c>
      <c r="L209" s="62">
        <v>240000</v>
      </c>
      <c r="N209" s="1"/>
      <c r="O209" s="1"/>
      <c r="P209" s="1"/>
      <c r="Q209" s="1"/>
      <c r="R209" s="1"/>
      <c r="S209" s="1"/>
    </row>
    <row r="210" spans="1:19" s="62" customFormat="1" ht="56.25">
      <c r="A210" s="1"/>
      <c r="B210" s="171"/>
      <c r="C210" s="168"/>
      <c r="D210" s="140"/>
      <c r="E210" s="168"/>
      <c r="F210" s="168"/>
      <c r="G210" s="169"/>
      <c r="H210" s="168"/>
      <c r="I210" s="141"/>
      <c r="J210" s="142"/>
      <c r="K210" s="217" t="s">
        <v>444</v>
      </c>
      <c r="L210" s="62">
        <v>180000</v>
      </c>
      <c r="N210" s="1"/>
      <c r="O210" s="1"/>
      <c r="P210" s="1"/>
      <c r="Q210" s="1"/>
      <c r="R210" s="1"/>
      <c r="S210" s="1"/>
    </row>
    <row r="211" spans="1:19" s="62" customFormat="1" ht="37.5">
      <c r="A211" s="1"/>
      <c r="B211" s="171"/>
      <c r="C211" s="168"/>
      <c r="D211" s="140"/>
      <c r="E211" s="168"/>
      <c r="F211" s="168"/>
      <c r="G211" s="169"/>
      <c r="H211" s="168"/>
      <c r="I211" s="141"/>
      <c r="J211" s="142"/>
      <c r="K211" s="217" t="s">
        <v>445</v>
      </c>
      <c r="L211" s="62">
        <v>100000</v>
      </c>
      <c r="N211" s="1"/>
      <c r="O211" s="1"/>
      <c r="P211" s="1"/>
      <c r="Q211" s="1"/>
      <c r="R211" s="1"/>
      <c r="S211" s="1"/>
    </row>
    <row r="212" spans="1:19" s="62" customFormat="1" ht="37.5">
      <c r="A212" s="1"/>
      <c r="B212" s="171"/>
      <c r="C212" s="168"/>
      <c r="D212" s="140"/>
      <c r="E212" s="168"/>
      <c r="F212" s="168"/>
      <c r="G212" s="169"/>
      <c r="H212" s="168"/>
      <c r="I212" s="141"/>
      <c r="J212" s="142"/>
      <c r="K212" s="217" t="s">
        <v>447</v>
      </c>
      <c r="L212" s="62">
        <v>37500</v>
      </c>
      <c r="N212" s="1"/>
      <c r="O212" s="1"/>
      <c r="P212" s="1"/>
      <c r="Q212" s="1"/>
      <c r="R212" s="1"/>
      <c r="S212" s="1"/>
    </row>
    <row r="213" spans="1:19" s="62" customFormat="1" ht="37.5">
      <c r="A213" s="1"/>
      <c r="B213" s="171"/>
      <c r="C213" s="168"/>
      <c r="D213" s="140"/>
      <c r="E213" s="168"/>
      <c r="F213" s="168"/>
      <c r="G213" s="169"/>
      <c r="H213" s="168"/>
      <c r="I213" s="141"/>
      <c r="J213" s="142"/>
      <c r="K213" s="217" t="s">
        <v>446</v>
      </c>
      <c r="L213" s="62">
        <v>30000</v>
      </c>
      <c r="N213" s="1"/>
      <c r="O213" s="1"/>
      <c r="P213" s="1"/>
      <c r="Q213" s="1"/>
      <c r="R213" s="1"/>
      <c r="S213" s="1"/>
    </row>
    <row r="214" spans="1:19" s="62" customFormat="1">
      <c r="A214" s="1"/>
      <c r="B214" s="171"/>
      <c r="C214" s="168"/>
      <c r="D214" s="140"/>
      <c r="E214" s="168"/>
      <c r="F214" s="168"/>
      <c r="G214" s="169"/>
      <c r="H214" s="168"/>
      <c r="I214" s="141"/>
      <c r="J214" s="142"/>
      <c r="K214" s="217" t="s">
        <v>448</v>
      </c>
      <c r="L214" s="62">
        <v>15000</v>
      </c>
      <c r="N214" s="1"/>
      <c r="O214" s="1"/>
      <c r="P214" s="1"/>
      <c r="Q214" s="1"/>
      <c r="R214" s="1"/>
      <c r="S214" s="1"/>
    </row>
    <row r="215" spans="1:19" s="62" customFormat="1">
      <c r="A215" s="1"/>
      <c r="B215" s="171"/>
      <c r="C215" s="168"/>
      <c r="D215" s="140"/>
      <c r="E215" s="168"/>
      <c r="F215" s="168"/>
      <c r="G215" s="169"/>
      <c r="H215" s="168"/>
      <c r="I215" s="141"/>
      <c r="J215" s="142"/>
      <c r="K215" s="217" t="s">
        <v>467</v>
      </c>
      <c r="L215" s="62">
        <v>2800000</v>
      </c>
      <c r="N215" s="1"/>
      <c r="O215" s="1"/>
      <c r="P215" s="1"/>
      <c r="Q215" s="1"/>
      <c r="R215" s="1"/>
      <c r="S215" s="1"/>
    </row>
    <row r="216" spans="1:19" s="62" customFormat="1">
      <c r="A216" s="1"/>
      <c r="B216" s="171"/>
      <c r="C216" s="168"/>
      <c r="D216" s="140"/>
      <c r="E216" s="168"/>
      <c r="F216" s="168"/>
      <c r="G216" s="169"/>
      <c r="H216" s="168"/>
      <c r="I216" s="141"/>
      <c r="J216" s="142"/>
      <c r="K216" s="217" t="s">
        <v>468</v>
      </c>
      <c r="L216" s="62">
        <v>180000</v>
      </c>
      <c r="N216" s="1"/>
      <c r="O216" s="1"/>
      <c r="P216" s="1"/>
      <c r="Q216" s="1"/>
      <c r="R216" s="1"/>
      <c r="S216" s="1"/>
    </row>
    <row r="217" spans="1:19" s="62" customFormat="1" ht="37.5">
      <c r="A217" s="1"/>
      <c r="B217" s="171"/>
      <c r="C217" s="168"/>
      <c r="D217" s="140"/>
      <c r="E217" s="168"/>
      <c r="F217" s="168"/>
      <c r="G217" s="169"/>
      <c r="H217" s="168"/>
      <c r="I217" s="141"/>
      <c r="J217" s="142"/>
      <c r="K217" s="217" t="s">
        <v>469</v>
      </c>
      <c r="L217" s="62">
        <v>460000</v>
      </c>
      <c r="N217" s="1"/>
      <c r="O217" s="1"/>
      <c r="P217" s="1"/>
      <c r="Q217" s="1"/>
      <c r="R217" s="1"/>
      <c r="S217" s="1"/>
    </row>
    <row r="218" spans="1:19" s="62" customFormat="1" ht="37.5">
      <c r="A218" s="1"/>
      <c r="B218" s="171"/>
      <c r="C218" s="168"/>
      <c r="D218" s="140"/>
      <c r="E218" s="168"/>
      <c r="F218" s="168"/>
      <c r="G218" s="169"/>
      <c r="H218" s="168"/>
      <c r="I218" s="141"/>
      <c r="J218" s="142"/>
      <c r="K218" s="217" t="s">
        <v>481</v>
      </c>
      <c r="L218" s="62">
        <v>202000</v>
      </c>
      <c r="N218" s="1"/>
      <c r="O218" s="1"/>
      <c r="P218" s="1"/>
      <c r="Q218" s="1"/>
      <c r="R218" s="1"/>
      <c r="S218" s="1"/>
    </row>
    <row r="219" spans="1:19" s="62" customFormat="1" ht="56.25">
      <c r="A219" s="1"/>
      <c r="B219" s="171"/>
      <c r="C219" s="168"/>
      <c r="D219" s="140"/>
      <c r="E219" s="168"/>
      <c r="F219" s="168"/>
      <c r="G219" s="169"/>
      <c r="H219" s="168"/>
      <c r="I219" s="141"/>
      <c r="J219" s="142"/>
      <c r="K219" s="217" t="s">
        <v>482</v>
      </c>
      <c r="L219" s="62">
        <v>300000</v>
      </c>
      <c r="N219" s="1"/>
      <c r="O219" s="1"/>
      <c r="P219" s="1"/>
      <c r="Q219" s="1"/>
      <c r="R219" s="1"/>
      <c r="S219" s="1"/>
    </row>
    <row r="220" spans="1:19" s="62" customFormat="1" ht="37.5">
      <c r="A220" s="1"/>
      <c r="B220" s="171"/>
      <c r="C220" s="168"/>
      <c r="D220" s="140"/>
      <c r="E220" s="168"/>
      <c r="F220" s="168"/>
      <c r="G220" s="169"/>
      <c r="H220" s="168"/>
      <c r="I220" s="141"/>
      <c r="J220" s="142"/>
      <c r="K220" s="217" t="s">
        <v>483</v>
      </c>
      <c r="L220" s="62">
        <v>30000</v>
      </c>
      <c r="N220" s="1"/>
      <c r="O220" s="1"/>
      <c r="P220" s="1"/>
      <c r="Q220" s="1"/>
      <c r="R220" s="1"/>
      <c r="S220" s="1"/>
    </row>
    <row r="221" spans="1:19" s="62" customFormat="1" ht="37.5">
      <c r="A221" s="1"/>
      <c r="B221" s="171"/>
      <c r="C221" s="168"/>
      <c r="D221" s="140"/>
      <c r="E221" s="168"/>
      <c r="F221" s="168"/>
      <c r="G221" s="169"/>
      <c r="H221" s="168"/>
      <c r="I221" s="141"/>
      <c r="J221" s="142"/>
      <c r="K221" s="217" t="s">
        <v>484</v>
      </c>
      <c r="L221" s="62">
        <v>100000</v>
      </c>
      <c r="N221" s="1"/>
      <c r="O221" s="1"/>
      <c r="P221" s="1"/>
      <c r="Q221" s="1"/>
      <c r="R221" s="1"/>
      <c r="S221" s="1"/>
    </row>
    <row r="222" spans="1:19" s="62" customFormat="1" ht="37.5">
      <c r="A222" s="1"/>
      <c r="B222" s="171"/>
      <c r="C222" s="168"/>
      <c r="D222" s="140"/>
      <c r="E222" s="168"/>
      <c r="F222" s="168"/>
      <c r="G222" s="169"/>
      <c r="H222" s="168"/>
      <c r="I222" s="141"/>
      <c r="J222" s="142"/>
      <c r="K222" s="217" t="s">
        <v>486</v>
      </c>
      <c r="L222" s="62">
        <v>18000</v>
      </c>
      <c r="N222" s="1"/>
      <c r="O222" s="1"/>
      <c r="P222" s="1"/>
      <c r="Q222" s="1"/>
      <c r="R222" s="1"/>
      <c r="S222" s="1"/>
    </row>
    <row r="223" spans="1:19" s="62" customFormat="1" ht="37.5">
      <c r="A223" s="1"/>
      <c r="B223" s="171" t="s">
        <v>87</v>
      </c>
      <c r="C223" s="168"/>
      <c r="D223" s="140"/>
      <c r="E223" s="168">
        <v>3.9832999999999998</v>
      </c>
      <c r="F223" s="168"/>
      <c r="G223" s="169"/>
      <c r="H223" s="168">
        <v>18.8093</v>
      </c>
      <c r="I223" s="141">
        <f t="shared" si="6"/>
        <v>14.826000000000001</v>
      </c>
      <c r="J223" s="142">
        <f t="shared" si="7"/>
        <v>78.822710042372663</v>
      </c>
      <c r="K223" s="167" t="s">
        <v>403</v>
      </c>
      <c r="L223" s="62">
        <f>SUM(L224:L229)</f>
        <v>18809300</v>
      </c>
      <c r="N223" s="1"/>
      <c r="O223" s="1"/>
      <c r="P223" s="1"/>
      <c r="Q223" s="1"/>
      <c r="R223" s="1"/>
      <c r="S223" s="1"/>
    </row>
    <row r="224" spans="1:19" s="62" customFormat="1">
      <c r="A224" s="1"/>
      <c r="B224" s="171"/>
      <c r="C224" s="168"/>
      <c r="D224" s="140"/>
      <c r="E224" s="168"/>
      <c r="F224" s="168"/>
      <c r="G224" s="169"/>
      <c r="H224" s="168"/>
      <c r="I224" s="141"/>
      <c r="J224" s="142"/>
      <c r="K224" s="170" t="s">
        <v>420</v>
      </c>
      <c r="L224" s="62">
        <v>3645800</v>
      </c>
      <c r="N224" s="1"/>
      <c r="O224" s="1"/>
      <c r="P224" s="1"/>
      <c r="Q224" s="1"/>
      <c r="R224" s="1"/>
      <c r="S224" s="1"/>
    </row>
    <row r="225" spans="1:19" s="62" customFormat="1" ht="37.5">
      <c r="A225" s="1"/>
      <c r="B225" s="171"/>
      <c r="C225" s="168"/>
      <c r="D225" s="140"/>
      <c r="E225" s="168"/>
      <c r="F225" s="168"/>
      <c r="G225" s="169"/>
      <c r="H225" s="168"/>
      <c r="I225" s="141"/>
      <c r="J225" s="142"/>
      <c r="K225" s="167" t="s">
        <v>429</v>
      </c>
      <c r="L225" s="62">
        <v>5693100</v>
      </c>
      <c r="N225" s="1"/>
      <c r="O225" s="1"/>
      <c r="P225" s="1"/>
      <c r="Q225" s="1"/>
      <c r="R225" s="1"/>
      <c r="S225" s="1"/>
    </row>
    <row r="226" spans="1:19" s="62" customFormat="1" ht="37.5">
      <c r="A226" s="1"/>
      <c r="B226" s="171"/>
      <c r="C226" s="168"/>
      <c r="D226" s="140"/>
      <c r="E226" s="168"/>
      <c r="F226" s="168"/>
      <c r="G226" s="169"/>
      <c r="H226" s="168"/>
      <c r="I226" s="141"/>
      <c r="J226" s="142"/>
      <c r="K226" s="167" t="s">
        <v>449</v>
      </c>
      <c r="L226" s="62">
        <f>897500+700000</f>
        <v>1597500</v>
      </c>
      <c r="N226" s="1"/>
      <c r="O226" s="1"/>
      <c r="P226" s="1"/>
      <c r="Q226" s="1"/>
      <c r="R226" s="1"/>
      <c r="S226" s="1"/>
    </row>
    <row r="227" spans="1:19" s="62" customFormat="1">
      <c r="A227" s="1"/>
      <c r="B227" s="171"/>
      <c r="C227" s="168"/>
      <c r="D227" s="140"/>
      <c r="E227" s="168"/>
      <c r="F227" s="168"/>
      <c r="G227" s="169"/>
      <c r="H227" s="168"/>
      <c r="I227" s="141"/>
      <c r="J227" s="142"/>
      <c r="K227" s="170" t="s">
        <v>470</v>
      </c>
      <c r="L227" s="62">
        <v>7439700</v>
      </c>
      <c r="N227" s="1"/>
      <c r="O227" s="1"/>
      <c r="P227" s="1"/>
      <c r="Q227" s="1"/>
      <c r="R227" s="1"/>
      <c r="S227" s="1"/>
    </row>
    <row r="228" spans="1:19" s="62" customFormat="1" ht="37.5">
      <c r="A228" s="1"/>
      <c r="B228" s="171"/>
      <c r="C228" s="168"/>
      <c r="D228" s="140"/>
      <c r="E228" s="168"/>
      <c r="F228" s="168"/>
      <c r="G228" s="169"/>
      <c r="H228" s="168"/>
      <c r="I228" s="141"/>
      <c r="J228" s="142"/>
      <c r="K228" s="167" t="s">
        <v>489</v>
      </c>
      <c r="L228" s="62">
        <v>216600</v>
      </c>
      <c r="N228" s="1"/>
      <c r="O228" s="1"/>
      <c r="P228" s="1"/>
      <c r="Q228" s="1"/>
      <c r="R228" s="1"/>
      <c r="S228" s="1"/>
    </row>
    <row r="229" spans="1:19" s="62" customFormat="1" ht="37.5">
      <c r="A229" s="1"/>
      <c r="B229" s="171"/>
      <c r="C229" s="168"/>
      <c r="D229" s="140"/>
      <c r="E229" s="168"/>
      <c r="F229" s="168"/>
      <c r="G229" s="169"/>
      <c r="H229" s="168"/>
      <c r="I229" s="141"/>
      <c r="J229" s="142"/>
      <c r="K229" s="167" t="s">
        <v>490</v>
      </c>
      <c r="L229" s="62">
        <v>216600</v>
      </c>
      <c r="N229" s="1"/>
      <c r="O229" s="1"/>
      <c r="P229" s="1"/>
      <c r="Q229" s="1"/>
      <c r="R229" s="1"/>
      <c r="S229" s="1"/>
    </row>
    <row r="230" spans="1:19" s="62" customFormat="1" ht="63.75" customHeight="1">
      <c r="A230" s="1"/>
      <c r="B230" s="171" t="s">
        <v>88</v>
      </c>
      <c r="C230" s="168"/>
      <c r="D230" s="140"/>
      <c r="E230" s="168">
        <v>2.3793000000000002</v>
      </c>
      <c r="F230" s="168"/>
      <c r="G230" s="169"/>
      <c r="H230" s="168">
        <v>2.9323000000000001</v>
      </c>
      <c r="I230" s="141">
        <f t="shared" si="6"/>
        <v>0.55299999999999994</v>
      </c>
      <c r="J230" s="142">
        <f t="shared" si="7"/>
        <v>18.858916209119119</v>
      </c>
      <c r="K230" s="167" t="s">
        <v>404</v>
      </c>
      <c r="L230" s="62">
        <f>SUM(L231:L234)</f>
        <v>2932300</v>
      </c>
      <c r="N230" s="1"/>
      <c r="O230" s="1"/>
      <c r="P230" s="1"/>
      <c r="Q230" s="1"/>
      <c r="R230" s="1"/>
      <c r="S230" s="1"/>
    </row>
    <row r="231" spans="1:19" s="62" customFormat="1" ht="24" customHeight="1">
      <c r="A231" s="1"/>
      <c r="B231" s="171"/>
      <c r="C231" s="168"/>
      <c r="D231" s="140"/>
      <c r="E231" s="168"/>
      <c r="F231" s="168"/>
      <c r="G231" s="169"/>
      <c r="H231" s="168"/>
      <c r="I231" s="141"/>
      <c r="J231" s="142"/>
      <c r="K231" s="167" t="s">
        <v>421</v>
      </c>
      <c r="L231" s="62">
        <v>30000</v>
      </c>
      <c r="N231" s="1"/>
      <c r="O231" s="1"/>
      <c r="P231" s="1"/>
      <c r="Q231" s="1"/>
      <c r="R231" s="1"/>
      <c r="S231" s="1"/>
    </row>
    <row r="232" spans="1:19" s="62" customFormat="1" ht="45" customHeight="1">
      <c r="A232" s="1"/>
      <c r="B232" s="171"/>
      <c r="C232" s="168"/>
      <c r="D232" s="140"/>
      <c r="E232" s="168"/>
      <c r="F232" s="168"/>
      <c r="G232" s="169"/>
      <c r="H232" s="168"/>
      <c r="I232" s="141"/>
      <c r="J232" s="142"/>
      <c r="K232" s="167" t="s">
        <v>430</v>
      </c>
      <c r="L232" s="62">
        <v>1852300</v>
      </c>
      <c r="N232" s="1"/>
      <c r="O232" s="1"/>
      <c r="P232" s="1"/>
      <c r="Q232" s="1"/>
      <c r="R232" s="1"/>
      <c r="S232" s="1"/>
    </row>
    <row r="233" spans="1:19" s="62" customFormat="1" ht="29.25" customHeight="1">
      <c r="A233" s="1"/>
      <c r="B233" s="171"/>
      <c r="C233" s="168"/>
      <c r="D233" s="140"/>
      <c r="E233" s="168"/>
      <c r="F233" s="168"/>
      <c r="G233" s="169"/>
      <c r="H233" s="168"/>
      <c r="I233" s="141"/>
      <c r="J233" s="142"/>
      <c r="K233" s="217" t="s">
        <v>471</v>
      </c>
      <c r="L233" s="62">
        <v>800000</v>
      </c>
      <c r="N233" s="1"/>
      <c r="O233" s="1"/>
      <c r="P233" s="1"/>
      <c r="Q233" s="1"/>
      <c r="R233" s="1"/>
      <c r="S233" s="1"/>
    </row>
    <row r="234" spans="1:19" s="62" customFormat="1" ht="72.75" customHeight="1">
      <c r="A234" s="1"/>
      <c r="B234" s="171"/>
      <c r="C234" s="168"/>
      <c r="D234" s="140"/>
      <c r="E234" s="168"/>
      <c r="F234" s="168"/>
      <c r="G234" s="169"/>
      <c r="H234" s="168"/>
      <c r="I234" s="141"/>
      <c r="J234" s="142"/>
      <c r="K234" s="167" t="s">
        <v>441</v>
      </c>
      <c r="L234" s="62">
        <v>250000</v>
      </c>
      <c r="N234" s="1"/>
      <c r="O234" s="1"/>
      <c r="P234" s="1"/>
      <c r="Q234" s="1"/>
      <c r="R234" s="1"/>
      <c r="S234" s="1"/>
    </row>
    <row r="235" spans="1:19" s="62" customFormat="1" ht="22.5" customHeight="1">
      <c r="A235" s="1"/>
      <c r="B235" s="171" t="s">
        <v>1006</v>
      </c>
      <c r="C235" s="168"/>
      <c r="D235" s="140"/>
      <c r="E235" s="168"/>
      <c r="F235" s="168"/>
      <c r="G235" s="169"/>
      <c r="H235" s="168">
        <v>15</v>
      </c>
      <c r="I235" s="141">
        <f t="shared" si="6"/>
        <v>15</v>
      </c>
      <c r="J235" s="142">
        <f t="shared" si="7"/>
        <v>100</v>
      </c>
      <c r="K235" s="167" t="s">
        <v>1007</v>
      </c>
      <c r="N235" s="1"/>
      <c r="O235" s="1"/>
      <c r="P235" s="1"/>
      <c r="Q235" s="1"/>
      <c r="R235" s="1"/>
      <c r="S235" s="1"/>
    </row>
    <row r="236" spans="1:19" s="62" customFormat="1" ht="47.25" customHeight="1">
      <c r="A236" s="1"/>
      <c r="B236" s="171" t="s">
        <v>1008</v>
      </c>
      <c r="C236" s="168"/>
      <c r="D236" s="140"/>
      <c r="E236" s="168"/>
      <c r="F236" s="168"/>
      <c r="G236" s="169"/>
      <c r="H236" s="168">
        <v>12.6996</v>
      </c>
      <c r="I236" s="141">
        <f t="shared" si="6"/>
        <v>12.6996</v>
      </c>
      <c r="J236" s="142">
        <f t="shared" si="7"/>
        <v>100</v>
      </c>
      <c r="K236" s="167" t="s">
        <v>422</v>
      </c>
      <c r="L236" s="62">
        <f>SUM(L237:L238)</f>
        <v>12699600</v>
      </c>
      <c r="N236" s="1"/>
      <c r="O236" s="1"/>
      <c r="P236" s="1"/>
      <c r="Q236" s="1"/>
      <c r="R236" s="1"/>
      <c r="S236" s="1"/>
    </row>
    <row r="237" spans="1:19" s="62" customFormat="1" ht="48" customHeight="1">
      <c r="A237" s="1"/>
      <c r="B237" s="171"/>
      <c r="C237" s="168"/>
      <c r="D237" s="140"/>
      <c r="E237" s="168"/>
      <c r="F237" s="168"/>
      <c r="G237" s="169"/>
      <c r="H237" s="168"/>
      <c r="I237" s="141"/>
      <c r="J237" s="142"/>
      <c r="K237" s="167" t="s">
        <v>423</v>
      </c>
      <c r="L237" s="62">
        <v>968400</v>
      </c>
      <c r="N237" s="1"/>
      <c r="O237" s="1"/>
      <c r="P237" s="1"/>
      <c r="Q237" s="1"/>
      <c r="R237" s="1"/>
      <c r="S237" s="1"/>
    </row>
    <row r="238" spans="1:19" s="62" customFormat="1" ht="51" customHeight="1">
      <c r="A238" s="1"/>
      <c r="B238" s="171"/>
      <c r="C238" s="168"/>
      <c r="D238" s="140"/>
      <c r="E238" s="168"/>
      <c r="F238" s="168"/>
      <c r="G238" s="169"/>
      <c r="H238" s="168"/>
      <c r="I238" s="141"/>
      <c r="J238" s="142"/>
      <c r="K238" s="217" t="s">
        <v>431</v>
      </c>
      <c r="L238" s="81">
        <v>11731200</v>
      </c>
      <c r="N238" s="1"/>
      <c r="O238" s="1"/>
      <c r="P238" s="1"/>
      <c r="Q238" s="1"/>
      <c r="R238" s="1"/>
      <c r="S238" s="1"/>
    </row>
    <row r="239" spans="1:19" s="62" customFormat="1" ht="27" customHeight="1">
      <c r="A239" s="1"/>
      <c r="B239" s="171" t="s">
        <v>473</v>
      </c>
      <c r="C239" s="168"/>
      <c r="D239" s="140"/>
      <c r="E239" s="168"/>
      <c r="F239" s="168"/>
      <c r="G239" s="169"/>
      <c r="H239" s="168">
        <v>0.02</v>
      </c>
      <c r="I239" s="141">
        <f t="shared" ref="I239:I302" si="8">+H239-E239</f>
        <v>0.02</v>
      </c>
      <c r="J239" s="142">
        <f t="shared" ref="J239:J302" si="9">+I239*100/H239</f>
        <v>100</v>
      </c>
      <c r="K239" s="217" t="s">
        <v>474</v>
      </c>
      <c r="L239" s="81">
        <v>20000</v>
      </c>
      <c r="N239" s="1"/>
      <c r="O239" s="1"/>
      <c r="P239" s="1"/>
      <c r="Q239" s="1"/>
      <c r="R239" s="1"/>
      <c r="S239" s="1"/>
    </row>
    <row r="240" spans="1:19" s="62" customFormat="1" ht="27.75" customHeight="1">
      <c r="A240" s="1"/>
      <c r="B240" s="171" t="s">
        <v>487</v>
      </c>
      <c r="C240" s="168"/>
      <c r="D240" s="140"/>
      <c r="E240" s="168"/>
      <c r="F240" s="168"/>
      <c r="G240" s="169"/>
      <c r="H240" s="168">
        <v>0.1</v>
      </c>
      <c r="I240" s="141">
        <f t="shared" si="8"/>
        <v>0.1</v>
      </c>
      <c r="J240" s="142">
        <f t="shared" si="9"/>
        <v>100</v>
      </c>
      <c r="K240" s="217" t="s">
        <v>488</v>
      </c>
      <c r="L240" s="81">
        <v>100000</v>
      </c>
      <c r="N240" s="1"/>
      <c r="O240" s="1"/>
      <c r="P240" s="1"/>
      <c r="Q240" s="1"/>
      <c r="R240" s="1"/>
      <c r="S240" s="1"/>
    </row>
    <row r="241" spans="1:19" s="62" customFormat="1" ht="40.5">
      <c r="A241" s="1"/>
      <c r="B241" s="167" t="s">
        <v>69</v>
      </c>
      <c r="C241" s="168"/>
      <c r="D241" s="140"/>
      <c r="E241" s="168"/>
      <c r="F241" s="168"/>
      <c r="G241" s="169"/>
      <c r="H241" s="168">
        <v>1.764</v>
      </c>
      <c r="I241" s="141">
        <f t="shared" si="8"/>
        <v>1.764</v>
      </c>
      <c r="J241" s="142">
        <f t="shared" si="9"/>
        <v>100</v>
      </c>
      <c r="K241" s="170"/>
      <c r="N241" s="1"/>
      <c r="O241" s="1"/>
      <c r="P241" s="1"/>
      <c r="Q241" s="1"/>
      <c r="R241" s="1"/>
      <c r="S241" s="1"/>
    </row>
    <row r="242" spans="1:19" s="62" customFormat="1">
      <c r="A242" s="1"/>
      <c r="B242" s="171" t="s">
        <v>2</v>
      </c>
      <c r="C242" s="172"/>
      <c r="D242" s="173"/>
      <c r="E242" s="172"/>
      <c r="F242" s="168"/>
      <c r="G242" s="169"/>
      <c r="H242" s="172"/>
      <c r="I242" s="141"/>
      <c r="J242" s="142"/>
      <c r="K242" s="170"/>
      <c r="N242" s="1"/>
      <c r="O242" s="1"/>
      <c r="P242" s="1"/>
      <c r="Q242" s="1"/>
      <c r="R242" s="1"/>
      <c r="S242" s="1"/>
    </row>
    <row r="243" spans="1:19" s="62" customFormat="1">
      <c r="A243" s="1"/>
      <c r="B243" s="171" t="s">
        <v>3</v>
      </c>
      <c r="C243" s="172"/>
      <c r="D243" s="173"/>
      <c r="E243" s="172"/>
      <c r="F243" s="168"/>
      <c r="G243" s="169"/>
      <c r="H243" s="172"/>
      <c r="I243" s="141"/>
      <c r="J243" s="142"/>
      <c r="K243" s="170"/>
      <c r="L243" s="62">
        <f>SUM(L244:L250)</f>
        <v>1764000</v>
      </c>
      <c r="N243" s="1"/>
      <c r="O243" s="1"/>
      <c r="P243" s="1"/>
      <c r="Q243" s="1"/>
      <c r="R243" s="1"/>
      <c r="S243" s="1"/>
    </row>
    <row r="244" spans="1:19" s="62" customFormat="1" ht="56.25">
      <c r="A244" s="1"/>
      <c r="B244" s="171" t="s">
        <v>405</v>
      </c>
      <c r="C244" s="172"/>
      <c r="D244" s="173"/>
      <c r="E244" s="172"/>
      <c r="F244" s="168"/>
      <c r="G244" s="169"/>
      <c r="H244" s="172"/>
      <c r="I244" s="141"/>
      <c r="J244" s="142"/>
      <c r="K244" s="167" t="s">
        <v>406</v>
      </c>
      <c r="L244" s="62">
        <v>360000</v>
      </c>
      <c r="N244" s="1"/>
      <c r="O244" s="1"/>
      <c r="P244" s="1"/>
      <c r="Q244" s="1"/>
      <c r="R244" s="1"/>
      <c r="S244" s="1"/>
    </row>
    <row r="245" spans="1:19" s="62" customFormat="1" ht="37.5">
      <c r="A245" s="1"/>
      <c r="B245" s="171" t="s">
        <v>435</v>
      </c>
      <c r="C245" s="172"/>
      <c r="D245" s="173"/>
      <c r="E245" s="172"/>
      <c r="F245" s="168"/>
      <c r="G245" s="169"/>
      <c r="H245" s="172"/>
      <c r="I245" s="141"/>
      <c r="J245" s="142"/>
      <c r="K245" s="167" t="s">
        <v>432</v>
      </c>
      <c r="L245" s="62">
        <v>180000</v>
      </c>
      <c r="N245" s="1"/>
      <c r="O245" s="1"/>
      <c r="P245" s="1"/>
      <c r="Q245" s="1"/>
      <c r="R245" s="1"/>
      <c r="S245" s="1"/>
    </row>
    <row r="246" spans="1:19" s="62" customFormat="1" ht="48" customHeight="1">
      <c r="A246" s="1"/>
      <c r="B246" s="171"/>
      <c r="C246" s="172"/>
      <c r="D246" s="173"/>
      <c r="E246" s="172"/>
      <c r="F246" s="168"/>
      <c r="G246" s="169"/>
      <c r="H246" s="172"/>
      <c r="I246" s="141"/>
      <c r="J246" s="142"/>
      <c r="K246" s="167" t="s">
        <v>433</v>
      </c>
      <c r="L246" s="62">
        <v>540000</v>
      </c>
      <c r="N246" s="1"/>
      <c r="O246" s="1"/>
      <c r="P246" s="1"/>
      <c r="Q246" s="1"/>
      <c r="R246" s="1"/>
      <c r="S246" s="1"/>
    </row>
    <row r="247" spans="1:19" s="62" customFormat="1" ht="56.25">
      <c r="A247" s="1"/>
      <c r="B247" s="171"/>
      <c r="C247" s="172"/>
      <c r="D247" s="173"/>
      <c r="E247" s="172"/>
      <c r="F247" s="168"/>
      <c r="G247" s="169"/>
      <c r="H247" s="172"/>
      <c r="I247" s="141"/>
      <c r="J247" s="142"/>
      <c r="K247" s="167" t="s">
        <v>434</v>
      </c>
      <c r="L247" s="62">
        <v>180000</v>
      </c>
      <c r="N247" s="1"/>
      <c r="O247" s="1"/>
      <c r="P247" s="1"/>
      <c r="Q247" s="1"/>
      <c r="R247" s="1"/>
      <c r="S247" s="1"/>
    </row>
    <row r="248" spans="1:19" s="62" customFormat="1" ht="37.5">
      <c r="A248" s="1"/>
      <c r="B248" s="171" t="s">
        <v>450</v>
      </c>
      <c r="C248" s="172"/>
      <c r="D248" s="173"/>
      <c r="E248" s="172"/>
      <c r="F248" s="168"/>
      <c r="G248" s="169"/>
      <c r="H248" s="172"/>
      <c r="I248" s="141"/>
      <c r="J248" s="142"/>
      <c r="K248" s="167" t="s">
        <v>451</v>
      </c>
      <c r="L248" s="62">
        <v>180000</v>
      </c>
      <c r="N248" s="1"/>
      <c r="O248" s="1"/>
      <c r="P248" s="1"/>
      <c r="Q248" s="1"/>
      <c r="R248" s="1"/>
      <c r="S248" s="1"/>
    </row>
    <row r="249" spans="1:19" s="62" customFormat="1" ht="37.5">
      <c r="A249" s="1"/>
      <c r="B249" s="171" t="s">
        <v>454</v>
      </c>
      <c r="C249" s="172"/>
      <c r="D249" s="173"/>
      <c r="E249" s="172"/>
      <c r="F249" s="168"/>
      <c r="G249" s="169"/>
      <c r="H249" s="172"/>
      <c r="I249" s="141"/>
      <c r="J249" s="142"/>
      <c r="K249" s="167" t="s">
        <v>455</v>
      </c>
      <c r="L249" s="62">
        <v>144000</v>
      </c>
      <c r="N249" s="1"/>
      <c r="O249" s="1"/>
      <c r="P249" s="1"/>
      <c r="Q249" s="1"/>
      <c r="R249" s="1"/>
      <c r="S249" s="1"/>
    </row>
    <row r="250" spans="1:19" s="62" customFormat="1" ht="37.5">
      <c r="A250" s="1"/>
      <c r="B250" s="171" t="s">
        <v>493</v>
      </c>
      <c r="C250" s="172"/>
      <c r="D250" s="173"/>
      <c r="E250" s="172"/>
      <c r="F250" s="168"/>
      <c r="G250" s="169"/>
      <c r="H250" s="172"/>
      <c r="I250" s="141"/>
      <c r="J250" s="142"/>
      <c r="K250" s="167" t="s">
        <v>485</v>
      </c>
      <c r="L250" s="62">
        <v>180000</v>
      </c>
      <c r="N250" s="1"/>
      <c r="O250" s="1"/>
      <c r="P250" s="1"/>
      <c r="Q250" s="1"/>
      <c r="R250" s="1"/>
      <c r="S250" s="1"/>
    </row>
    <row r="251" spans="1:19" s="62" customFormat="1">
      <c r="A251" s="1"/>
      <c r="B251" s="171"/>
      <c r="C251" s="172"/>
      <c r="D251" s="173"/>
      <c r="E251" s="172"/>
      <c r="F251" s="168"/>
      <c r="G251" s="169"/>
      <c r="H251" s="172"/>
      <c r="I251" s="141"/>
      <c r="J251" s="142"/>
      <c r="K251" s="170"/>
      <c r="N251" s="1"/>
      <c r="O251" s="1"/>
      <c r="P251" s="1"/>
      <c r="Q251" s="1"/>
      <c r="R251" s="1"/>
      <c r="S251" s="1"/>
    </row>
    <row r="252" spans="1:19" s="62" customFormat="1">
      <c r="A252" s="1"/>
      <c r="B252" s="167" t="s">
        <v>22</v>
      </c>
      <c r="C252" s="168"/>
      <c r="D252" s="140"/>
      <c r="E252" s="168"/>
      <c r="F252" s="168"/>
      <c r="G252" s="169"/>
      <c r="H252" s="168"/>
      <c r="I252" s="141"/>
      <c r="J252" s="142"/>
      <c r="K252" s="170"/>
      <c r="N252" s="1"/>
      <c r="O252" s="1"/>
      <c r="P252" s="1"/>
      <c r="Q252" s="1"/>
      <c r="R252" s="1"/>
      <c r="S252" s="1"/>
    </row>
    <row r="253" spans="1:19" s="62" customFormat="1">
      <c r="A253" s="1"/>
      <c r="B253" s="171" t="s">
        <v>21</v>
      </c>
      <c r="C253" s="168"/>
      <c r="D253" s="140"/>
      <c r="E253" s="168"/>
      <c r="F253" s="168"/>
      <c r="G253" s="169"/>
      <c r="H253" s="168"/>
      <c r="I253" s="141"/>
      <c r="J253" s="142"/>
      <c r="K253" s="170"/>
      <c r="N253" s="1"/>
      <c r="O253" s="1"/>
      <c r="P253" s="1"/>
      <c r="Q253" s="1"/>
      <c r="R253" s="1"/>
      <c r="S253" s="1"/>
    </row>
    <row r="254" spans="1:19" s="62" customFormat="1">
      <c r="A254" s="1"/>
      <c r="B254" s="167" t="s">
        <v>20</v>
      </c>
      <c r="C254" s="168"/>
      <c r="D254" s="140"/>
      <c r="E254" s="168"/>
      <c r="F254" s="168"/>
      <c r="G254" s="169"/>
      <c r="H254" s="168"/>
      <c r="I254" s="141"/>
      <c r="J254" s="142"/>
      <c r="K254" s="170"/>
      <c r="N254" s="1"/>
      <c r="O254" s="1"/>
      <c r="P254" s="1"/>
      <c r="Q254" s="1"/>
      <c r="R254" s="1"/>
      <c r="S254" s="1"/>
    </row>
    <row r="255" spans="1:19" s="62" customFormat="1">
      <c r="A255" s="1"/>
      <c r="B255" s="171" t="s">
        <v>17</v>
      </c>
      <c r="C255" s="168"/>
      <c r="D255" s="140"/>
      <c r="E255" s="168"/>
      <c r="F255" s="168"/>
      <c r="G255" s="169"/>
      <c r="H255" s="168"/>
      <c r="I255" s="141"/>
      <c r="J255" s="142"/>
      <c r="K255" s="170"/>
      <c r="N255" s="1"/>
      <c r="O255" s="1"/>
      <c r="P255" s="1"/>
      <c r="Q255" s="1"/>
      <c r="R255" s="1"/>
      <c r="S255" s="1"/>
    </row>
    <row r="256" spans="1:19" s="62" customFormat="1">
      <c r="A256" s="1"/>
      <c r="B256" s="216" t="s">
        <v>44</v>
      </c>
      <c r="C256" s="133"/>
      <c r="D256" s="134"/>
      <c r="E256" s="133">
        <f>SUM(E257:E262)</f>
        <v>2.1408</v>
      </c>
      <c r="F256" s="133"/>
      <c r="G256" s="134"/>
      <c r="H256" s="133">
        <f>SUM(H257:H262)</f>
        <v>2.4</v>
      </c>
      <c r="I256" s="135">
        <f t="shared" si="8"/>
        <v>0.25919999999999987</v>
      </c>
      <c r="J256" s="136">
        <f t="shared" si="9"/>
        <v>10.799999999999995</v>
      </c>
      <c r="K256" s="137"/>
      <c r="N256" s="1"/>
      <c r="O256" s="1"/>
      <c r="P256" s="1"/>
      <c r="Q256" s="1"/>
      <c r="R256" s="1"/>
      <c r="S256" s="1"/>
    </row>
    <row r="257" spans="1:19" s="62" customFormat="1" ht="37.5">
      <c r="A257" s="1"/>
      <c r="B257" s="171" t="s">
        <v>90</v>
      </c>
      <c r="C257" s="168"/>
      <c r="D257" s="140"/>
      <c r="E257" s="168">
        <v>1.3888</v>
      </c>
      <c r="F257" s="168"/>
      <c r="G257" s="169"/>
      <c r="H257" s="168">
        <v>1.4</v>
      </c>
      <c r="I257" s="141">
        <f t="shared" si="8"/>
        <v>1.1199999999999877E-2</v>
      </c>
      <c r="J257" s="142">
        <f t="shared" si="9"/>
        <v>0.79999999999999127</v>
      </c>
      <c r="K257" s="167" t="s">
        <v>456</v>
      </c>
      <c r="N257" s="1"/>
      <c r="O257" s="1"/>
      <c r="P257" s="1"/>
      <c r="Q257" s="1"/>
      <c r="R257" s="1"/>
      <c r="S257" s="1"/>
    </row>
    <row r="258" spans="1:19" s="62" customFormat="1">
      <c r="A258" s="1"/>
      <c r="B258" s="171"/>
      <c r="C258" s="168"/>
      <c r="D258" s="140"/>
      <c r="E258" s="168"/>
      <c r="F258" s="168"/>
      <c r="G258" s="169"/>
      <c r="H258" s="168"/>
      <c r="I258" s="141"/>
      <c r="J258" s="142"/>
      <c r="K258" s="167" t="s">
        <v>457</v>
      </c>
      <c r="L258" s="62">
        <v>200000</v>
      </c>
      <c r="N258" s="1"/>
      <c r="O258" s="1"/>
      <c r="P258" s="1"/>
      <c r="Q258" s="1"/>
      <c r="R258" s="1"/>
      <c r="S258" s="1"/>
    </row>
    <row r="259" spans="1:19" s="62" customFormat="1">
      <c r="A259" s="1"/>
      <c r="B259" s="171"/>
      <c r="C259" s="168"/>
      <c r="D259" s="140"/>
      <c r="E259" s="168"/>
      <c r="F259" s="168"/>
      <c r="G259" s="169"/>
      <c r="H259" s="168"/>
      <c r="I259" s="141"/>
      <c r="J259" s="142"/>
      <c r="K259" s="167"/>
      <c r="N259" s="1"/>
      <c r="O259" s="1"/>
      <c r="P259" s="1"/>
      <c r="Q259" s="1"/>
      <c r="R259" s="1"/>
      <c r="S259" s="1"/>
    </row>
    <row r="260" spans="1:19" s="62" customFormat="1">
      <c r="A260" s="1"/>
      <c r="B260" s="171"/>
      <c r="C260" s="168"/>
      <c r="D260" s="140"/>
      <c r="E260" s="168"/>
      <c r="F260" s="168"/>
      <c r="G260" s="169"/>
      <c r="H260" s="168"/>
      <c r="I260" s="141"/>
      <c r="J260" s="142"/>
      <c r="K260" s="167"/>
      <c r="N260" s="1"/>
      <c r="O260" s="1"/>
      <c r="P260" s="1"/>
      <c r="Q260" s="1"/>
      <c r="R260" s="1"/>
      <c r="S260" s="1"/>
    </row>
    <row r="261" spans="1:19" s="62" customFormat="1">
      <c r="A261" s="1"/>
      <c r="B261" s="171"/>
      <c r="C261" s="168"/>
      <c r="D261" s="140"/>
      <c r="E261" s="168"/>
      <c r="F261" s="168"/>
      <c r="G261" s="169"/>
      <c r="H261" s="168"/>
      <c r="I261" s="141"/>
      <c r="J261" s="142"/>
      <c r="K261" s="170"/>
      <c r="N261" s="1"/>
      <c r="O261" s="1"/>
      <c r="P261" s="1"/>
      <c r="Q261" s="1"/>
      <c r="R261" s="1"/>
      <c r="S261" s="1"/>
    </row>
    <row r="262" spans="1:19" s="62" customFormat="1" ht="37.5">
      <c r="A262" s="1"/>
      <c r="B262" s="171" t="s">
        <v>91</v>
      </c>
      <c r="C262" s="168"/>
      <c r="D262" s="140"/>
      <c r="E262" s="168">
        <v>0.752</v>
      </c>
      <c r="F262" s="168"/>
      <c r="G262" s="169"/>
      <c r="H262" s="168">
        <v>1</v>
      </c>
      <c r="I262" s="141">
        <f t="shared" si="8"/>
        <v>0.248</v>
      </c>
      <c r="J262" s="142">
        <f t="shared" si="9"/>
        <v>24.8</v>
      </c>
      <c r="K262" s="167" t="s">
        <v>458</v>
      </c>
      <c r="L262" s="62">
        <v>100000</v>
      </c>
      <c r="N262" s="1"/>
      <c r="O262" s="1"/>
      <c r="P262" s="1"/>
      <c r="Q262" s="1"/>
      <c r="R262" s="1"/>
      <c r="S262" s="1"/>
    </row>
    <row r="263" spans="1:19" s="62" customFormat="1">
      <c r="A263" s="1"/>
      <c r="B263" s="171"/>
      <c r="C263" s="168"/>
      <c r="D263" s="140"/>
      <c r="E263" s="168"/>
      <c r="F263" s="168"/>
      <c r="G263" s="169"/>
      <c r="H263" s="168"/>
      <c r="I263" s="141"/>
      <c r="J263" s="142"/>
      <c r="K263" s="167"/>
      <c r="N263" s="1"/>
      <c r="O263" s="1"/>
      <c r="P263" s="1"/>
      <c r="Q263" s="1"/>
      <c r="R263" s="1"/>
      <c r="S263" s="1"/>
    </row>
    <row r="264" spans="1:19" s="62" customFormat="1">
      <c r="A264" s="1"/>
      <c r="B264" s="179" t="s">
        <v>45</v>
      </c>
      <c r="C264" s="180"/>
      <c r="D264" s="181"/>
      <c r="E264" s="180">
        <f>SUM(E265:E269)</f>
        <v>0</v>
      </c>
      <c r="F264" s="180"/>
      <c r="G264" s="181"/>
      <c r="H264" s="180">
        <f>SUM(H265:H269)</f>
        <v>0</v>
      </c>
      <c r="I264" s="182"/>
      <c r="J264" s="183"/>
      <c r="K264" s="184" t="s">
        <v>171</v>
      </c>
      <c r="N264" s="1"/>
      <c r="O264" s="1"/>
      <c r="P264" s="1"/>
      <c r="Q264" s="1"/>
      <c r="R264" s="1"/>
      <c r="S264" s="1"/>
    </row>
    <row r="265" spans="1:19" s="62" customFormat="1">
      <c r="A265" s="1"/>
      <c r="B265" s="171" t="s">
        <v>106</v>
      </c>
      <c r="C265" s="168"/>
      <c r="D265" s="140"/>
      <c r="E265" s="168"/>
      <c r="F265" s="168"/>
      <c r="G265" s="169"/>
      <c r="H265" s="168"/>
      <c r="I265" s="141"/>
      <c r="J265" s="142"/>
      <c r="K265" s="170"/>
      <c r="N265" s="1"/>
      <c r="O265" s="1"/>
      <c r="P265" s="1"/>
      <c r="Q265" s="1"/>
      <c r="R265" s="1"/>
      <c r="S265" s="1"/>
    </row>
    <row r="266" spans="1:19" s="62" customFormat="1">
      <c r="A266" s="1"/>
      <c r="B266" s="171" t="s">
        <v>107</v>
      </c>
      <c r="C266" s="168"/>
      <c r="D266" s="140"/>
      <c r="E266" s="168"/>
      <c r="F266" s="168"/>
      <c r="G266" s="169"/>
      <c r="H266" s="168"/>
      <c r="I266" s="141"/>
      <c r="J266" s="142"/>
      <c r="K266" s="170"/>
      <c r="N266" s="1"/>
      <c r="O266" s="1"/>
      <c r="P266" s="1"/>
      <c r="Q266" s="1"/>
      <c r="R266" s="1"/>
      <c r="S266" s="1"/>
    </row>
    <row r="267" spans="1:19" s="62" customFormat="1">
      <c r="A267" s="1"/>
      <c r="B267" s="171" t="s">
        <v>108</v>
      </c>
      <c r="C267" s="168"/>
      <c r="D267" s="140"/>
      <c r="E267" s="168"/>
      <c r="F267" s="168"/>
      <c r="G267" s="169"/>
      <c r="H267" s="168"/>
      <c r="I267" s="141"/>
      <c r="J267" s="142"/>
      <c r="K267" s="170"/>
      <c r="N267" s="1"/>
      <c r="O267" s="1"/>
      <c r="P267" s="1"/>
      <c r="Q267" s="1"/>
      <c r="R267" s="1"/>
      <c r="S267" s="1"/>
    </row>
    <row r="268" spans="1:19" s="62" customFormat="1">
      <c r="A268" s="1"/>
      <c r="B268" s="171" t="s">
        <v>109</v>
      </c>
      <c r="C268" s="168"/>
      <c r="D268" s="140"/>
      <c r="E268" s="168"/>
      <c r="F268" s="168"/>
      <c r="G268" s="169"/>
      <c r="H268" s="168"/>
      <c r="I268" s="141"/>
      <c r="J268" s="142"/>
      <c r="K268" s="170"/>
      <c r="N268" s="1"/>
      <c r="O268" s="1"/>
      <c r="P268" s="1"/>
      <c r="Q268" s="1"/>
      <c r="R268" s="1"/>
      <c r="S268" s="1"/>
    </row>
    <row r="269" spans="1:19" s="62" customFormat="1">
      <c r="A269" s="1"/>
      <c r="B269" s="171" t="s">
        <v>111</v>
      </c>
      <c r="C269" s="168"/>
      <c r="D269" s="140"/>
      <c r="E269" s="168"/>
      <c r="F269" s="168"/>
      <c r="G269" s="169"/>
      <c r="H269" s="168"/>
      <c r="I269" s="141"/>
      <c r="J269" s="142"/>
      <c r="K269" s="170"/>
      <c r="N269" s="1"/>
      <c r="O269" s="1"/>
      <c r="P269" s="1"/>
      <c r="Q269" s="1"/>
      <c r="R269" s="1"/>
      <c r="S269" s="1"/>
    </row>
    <row r="270" spans="1:19" s="62" customFormat="1">
      <c r="A270" s="1"/>
      <c r="B270" s="221" t="s">
        <v>46</v>
      </c>
      <c r="C270" s="222"/>
      <c r="D270" s="223"/>
      <c r="E270" s="222">
        <f>+E271+E282</f>
        <v>0</v>
      </c>
      <c r="F270" s="222"/>
      <c r="G270" s="223"/>
      <c r="H270" s="222">
        <f>+H271+H282</f>
        <v>2.5257000000000001</v>
      </c>
      <c r="I270" s="224">
        <f t="shared" si="8"/>
        <v>2.5257000000000001</v>
      </c>
      <c r="J270" s="225">
        <f t="shared" si="9"/>
        <v>100</v>
      </c>
      <c r="K270" s="226"/>
      <c r="N270" s="1"/>
      <c r="O270" s="1"/>
      <c r="P270" s="1"/>
      <c r="Q270" s="1"/>
      <c r="R270" s="1"/>
      <c r="S270" s="1"/>
    </row>
    <row r="271" spans="1:19" s="62" customFormat="1">
      <c r="A271" s="1"/>
      <c r="B271" s="179" t="s">
        <v>47</v>
      </c>
      <c r="C271" s="180"/>
      <c r="D271" s="181"/>
      <c r="E271" s="180">
        <f>+E273</f>
        <v>0</v>
      </c>
      <c r="F271" s="180"/>
      <c r="G271" s="181"/>
      <c r="H271" s="180">
        <f>+H273</f>
        <v>2.5257000000000001</v>
      </c>
      <c r="I271" s="182">
        <f t="shared" si="8"/>
        <v>2.5257000000000001</v>
      </c>
      <c r="J271" s="183">
        <f t="shared" si="9"/>
        <v>100</v>
      </c>
      <c r="K271" s="184"/>
      <c r="N271" s="1"/>
      <c r="O271" s="1"/>
      <c r="P271" s="1"/>
      <c r="Q271" s="1"/>
      <c r="R271" s="1"/>
      <c r="S271" s="1"/>
    </row>
    <row r="272" spans="1:19" s="62" customFormat="1">
      <c r="A272" s="1"/>
      <c r="B272" s="167" t="s">
        <v>19</v>
      </c>
      <c r="C272" s="168"/>
      <c r="D272" s="140"/>
      <c r="E272" s="168"/>
      <c r="F272" s="168"/>
      <c r="G272" s="169"/>
      <c r="H272" s="168"/>
      <c r="I272" s="168"/>
      <c r="J272" s="168"/>
      <c r="K272" s="170"/>
      <c r="N272" s="1"/>
      <c r="O272" s="1"/>
      <c r="P272" s="1"/>
      <c r="Q272" s="1"/>
      <c r="R272" s="1"/>
      <c r="S272" s="1"/>
    </row>
    <row r="273" spans="1:19" s="62" customFormat="1">
      <c r="A273" s="1"/>
      <c r="B273" s="216" t="s">
        <v>110</v>
      </c>
      <c r="C273" s="133"/>
      <c r="D273" s="134"/>
      <c r="E273" s="133"/>
      <c r="F273" s="133"/>
      <c r="G273" s="134"/>
      <c r="H273" s="133">
        <f>SUM(H274:H275)</f>
        <v>2.5257000000000001</v>
      </c>
      <c r="I273" s="135">
        <f t="shared" si="8"/>
        <v>2.5257000000000001</v>
      </c>
      <c r="J273" s="136">
        <f t="shared" si="9"/>
        <v>100</v>
      </c>
      <c r="K273" s="137"/>
      <c r="N273" s="1"/>
      <c r="O273" s="1"/>
      <c r="P273" s="1"/>
      <c r="Q273" s="1"/>
      <c r="R273" s="1"/>
      <c r="S273" s="1"/>
    </row>
    <row r="274" spans="1:19" s="62" customFormat="1" ht="112.5">
      <c r="A274" s="1"/>
      <c r="B274" s="171" t="s">
        <v>452</v>
      </c>
      <c r="C274" s="168"/>
      <c r="D274" s="140"/>
      <c r="E274" s="168"/>
      <c r="F274" s="168"/>
      <c r="G274" s="169"/>
      <c r="H274" s="168">
        <v>2.5</v>
      </c>
      <c r="I274" s="141">
        <f t="shared" si="8"/>
        <v>2.5</v>
      </c>
      <c r="J274" s="142">
        <f t="shared" si="9"/>
        <v>100</v>
      </c>
      <c r="K274" s="167" t="s">
        <v>453</v>
      </c>
      <c r="N274" s="1"/>
      <c r="O274" s="1"/>
      <c r="P274" s="1"/>
      <c r="Q274" s="1"/>
      <c r="R274" s="1"/>
      <c r="S274" s="1"/>
    </row>
    <row r="275" spans="1:19" s="62" customFormat="1" ht="37.5">
      <c r="A275" s="1"/>
      <c r="B275" s="171" t="s">
        <v>477</v>
      </c>
      <c r="C275" s="168"/>
      <c r="D275" s="140"/>
      <c r="E275" s="168"/>
      <c r="F275" s="168"/>
      <c r="G275" s="169"/>
      <c r="H275" s="168">
        <v>2.5700000000000001E-2</v>
      </c>
      <c r="I275" s="141">
        <f t="shared" si="8"/>
        <v>2.5700000000000001E-2</v>
      </c>
      <c r="J275" s="142">
        <f t="shared" si="9"/>
        <v>100.00000000000001</v>
      </c>
      <c r="K275" s="167" t="s">
        <v>478</v>
      </c>
      <c r="N275" s="1"/>
      <c r="O275" s="1"/>
      <c r="P275" s="1"/>
      <c r="Q275" s="1"/>
      <c r="R275" s="1"/>
      <c r="S275" s="1"/>
    </row>
    <row r="276" spans="1:19" s="62" customFormat="1">
      <c r="A276" s="1"/>
      <c r="B276" s="167" t="s">
        <v>22</v>
      </c>
      <c r="C276" s="168"/>
      <c r="D276" s="140"/>
      <c r="E276" s="168"/>
      <c r="F276" s="168"/>
      <c r="G276" s="169"/>
      <c r="H276" s="168"/>
      <c r="I276" s="141"/>
      <c r="J276" s="142"/>
      <c r="K276" s="170"/>
      <c r="N276" s="1"/>
      <c r="O276" s="1"/>
      <c r="P276" s="1"/>
      <c r="Q276" s="1"/>
      <c r="R276" s="1"/>
      <c r="S276" s="1"/>
    </row>
    <row r="277" spans="1:19" s="62" customFormat="1">
      <c r="A277" s="1"/>
      <c r="B277" s="167" t="s">
        <v>48</v>
      </c>
      <c r="C277" s="168"/>
      <c r="D277" s="140"/>
      <c r="E277" s="168"/>
      <c r="F277" s="168"/>
      <c r="G277" s="169"/>
      <c r="H277" s="168"/>
      <c r="I277" s="141"/>
      <c r="J277" s="142"/>
      <c r="K277" s="170"/>
      <c r="N277" s="1"/>
      <c r="O277" s="1"/>
      <c r="P277" s="1"/>
      <c r="Q277" s="1"/>
      <c r="R277" s="1"/>
      <c r="S277" s="1"/>
    </row>
    <row r="278" spans="1:19" s="62" customFormat="1">
      <c r="A278" s="1"/>
      <c r="B278" s="171" t="s">
        <v>23</v>
      </c>
      <c r="C278" s="168"/>
      <c r="D278" s="140"/>
      <c r="E278" s="168"/>
      <c r="F278" s="168"/>
      <c r="G278" s="169"/>
      <c r="H278" s="168"/>
      <c r="I278" s="141"/>
      <c r="J278" s="142"/>
      <c r="K278" s="170"/>
      <c r="N278" s="1"/>
      <c r="O278" s="1"/>
      <c r="P278" s="1"/>
      <c r="Q278" s="1"/>
      <c r="R278" s="1"/>
      <c r="S278" s="1"/>
    </row>
    <row r="279" spans="1:19" s="62" customFormat="1">
      <c r="A279" s="1"/>
      <c r="B279" s="167" t="s">
        <v>20</v>
      </c>
      <c r="C279" s="168"/>
      <c r="D279" s="140"/>
      <c r="E279" s="168"/>
      <c r="F279" s="168"/>
      <c r="G279" s="169"/>
      <c r="H279" s="168"/>
      <c r="I279" s="141"/>
      <c r="J279" s="142"/>
      <c r="K279" s="170"/>
      <c r="N279" s="1"/>
      <c r="O279" s="1"/>
      <c r="P279" s="1"/>
      <c r="Q279" s="1"/>
      <c r="R279" s="1"/>
      <c r="S279" s="1"/>
    </row>
    <row r="280" spans="1:19" s="62" customFormat="1">
      <c r="A280" s="1"/>
      <c r="B280" s="167" t="s">
        <v>48</v>
      </c>
      <c r="C280" s="168"/>
      <c r="D280" s="140"/>
      <c r="E280" s="168"/>
      <c r="F280" s="168"/>
      <c r="G280" s="169"/>
      <c r="H280" s="168"/>
      <c r="I280" s="141"/>
      <c r="J280" s="142"/>
      <c r="K280" s="170"/>
      <c r="N280" s="1"/>
      <c r="O280" s="1"/>
      <c r="P280" s="1"/>
      <c r="Q280" s="1"/>
      <c r="R280" s="1"/>
      <c r="S280" s="1"/>
    </row>
    <row r="281" spans="1:19" s="62" customFormat="1">
      <c r="A281" s="1"/>
      <c r="B281" s="171" t="s">
        <v>23</v>
      </c>
      <c r="C281" s="168"/>
      <c r="D281" s="140"/>
      <c r="E281" s="168"/>
      <c r="F281" s="168"/>
      <c r="G281" s="169"/>
      <c r="H281" s="168"/>
      <c r="I281" s="141"/>
      <c r="J281" s="142"/>
      <c r="K281" s="170"/>
      <c r="N281" s="1"/>
      <c r="O281" s="1"/>
      <c r="P281" s="1"/>
      <c r="Q281" s="1"/>
      <c r="R281" s="1"/>
      <c r="S281" s="1"/>
    </row>
    <row r="282" spans="1:19" s="62" customFormat="1">
      <c r="A282" s="1"/>
      <c r="B282" s="179" t="s">
        <v>49</v>
      </c>
      <c r="C282" s="180"/>
      <c r="D282" s="181"/>
      <c r="E282" s="180">
        <f>+E284</f>
        <v>0</v>
      </c>
      <c r="F282" s="180"/>
      <c r="G282" s="181"/>
      <c r="H282" s="180">
        <f>+H284</f>
        <v>0</v>
      </c>
      <c r="I282" s="184"/>
      <c r="J282" s="184"/>
      <c r="K282" s="184"/>
      <c r="N282" s="1"/>
      <c r="O282" s="1"/>
      <c r="P282" s="1"/>
      <c r="Q282" s="1"/>
      <c r="R282" s="1"/>
      <c r="S282" s="1"/>
    </row>
    <row r="283" spans="1:19" s="62" customFormat="1">
      <c r="A283" s="1"/>
      <c r="B283" s="167" t="s">
        <v>19</v>
      </c>
      <c r="C283" s="168"/>
      <c r="D283" s="140"/>
      <c r="E283" s="168"/>
      <c r="F283" s="168"/>
      <c r="G283" s="169"/>
      <c r="H283" s="168"/>
      <c r="I283" s="170"/>
      <c r="J283" s="170"/>
      <c r="K283" s="170"/>
      <c r="N283" s="1"/>
      <c r="O283" s="1"/>
      <c r="P283" s="1"/>
      <c r="Q283" s="1"/>
      <c r="R283" s="1"/>
      <c r="S283" s="1"/>
    </row>
    <row r="284" spans="1:19" s="62" customFormat="1">
      <c r="A284" s="1"/>
      <c r="B284" s="216" t="s">
        <v>50</v>
      </c>
      <c r="C284" s="133"/>
      <c r="D284" s="134"/>
      <c r="E284" s="133"/>
      <c r="F284" s="133"/>
      <c r="G284" s="134"/>
      <c r="H284" s="133"/>
      <c r="I284" s="137"/>
      <c r="J284" s="137"/>
      <c r="K284" s="137"/>
      <c r="N284" s="1"/>
      <c r="O284" s="1"/>
      <c r="P284" s="1"/>
      <c r="Q284" s="1"/>
      <c r="R284" s="1"/>
      <c r="S284" s="1"/>
    </row>
    <row r="285" spans="1:19" s="62" customFormat="1" ht="27.75" customHeight="1">
      <c r="A285" s="16"/>
      <c r="B285" s="171" t="s">
        <v>17</v>
      </c>
      <c r="C285" s="168"/>
      <c r="D285" s="140"/>
      <c r="E285" s="168"/>
      <c r="F285" s="168"/>
      <c r="G285" s="169"/>
      <c r="H285" s="168"/>
      <c r="I285" s="141"/>
      <c r="J285" s="142"/>
      <c r="K285" s="170"/>
      <c r="N285" s="1"/>
      <c r="O285" s="1"/>
      <c r="P285" s="1"/>
      <c r="Q285" s="1"/>
      <c r="R285" s="1"/>
      <c r="S285" s="1"/>
    </row>
    <row r="286" spans="1:19" s="62" customFormat="1" ht="27.75" customHeight="1">
      <c r="A286" s="1"/>
      <c r="B286" s="171" t="s">
        <v>18</v>
      </c>
      <c r="C286" s="168"/>
      <c r="D286" s="140"/>
      <c r="E286" s="168"/>
      <c r="F286" s="168"/>
      <c r="G286" s="169"/>
      <c r="H286" s="168"/>
      <c r="I286" s="141"/>
      <c r="J286" s="142"/>
      <c r="K286" s="170"/>
      <c r="N286" s="1"/>
      <c r="O286" s="1"/>
      <c r="P286" s="1"/>
      <c r="Q286" s="1"/>
      <c r="R286" s="1"/>
      <c r="S286" s="1"/>
    </row>
    <row r="287" spans="1:19" s="62" customFormat="1">
      <c r="A287" s="1"/>
      <c r="B287" s="167" t="s">
        <v>22</v>
      </c>
      <c r="C287" s="168"/>
      <c r="D287" s="140"/>
      <c r="E287" s="168"/>
      <c r="F287" s="168"/>
      <c r="G287" s="169"/>
      <c r="H287" s="168"/>
      <c r="I287" s="141"/>
      <c r="J287" s="142"/>
      <c r="K287" s="170"/>
      <c r="N287" s="1"/>
      <c r="O287" s="1"/>
      <c r="P287" s="1"/>
      <c r="Q287" s="1"/>
      <c r="R287" s="1"/>
      <c r="S287" s="1"/>
    </row>
    <row r="288" spans="1:19" s="62" customFormat="1">
      <c r="A288" s="1"/>
      <c r="B288" s="167" t="s">
        <v>51</v>
      </c>
      <c r="C288" s="168"/>
      <c r="D288" s="140"/>
      <c r="E288" s="168"/>
      <c r="F288" s="168"/>
      <c r="G288" s="169"/>
      <c r="H288" s="168"/>
      <c r="I288" s="141"/>
      <c r="J288" s="142"/>
      <c r="K288" s="170"/>
      <c r="N288" s="1"/>
      <c r="O288" s="1"/>
      <c r="P288" s="1"/>
      <c r="Q288" s="1"/>
      <c r="R288" s="1"/>
      <c r="S288" s="1"/>
    </row>
    <row r="289" spans="1:19" s="62" customFormat="1">
      <c r="A289" s="1"/>
      <c r="B289" s="171" t="s">
        <v>23</v>
      </c>
      <c r="C289" s="168"/>
      <c r="D289" s="140"/>
      <c r="E289" s="168"/>
      <c r="F289" s="168"/>
      <c r="G289" s="169"/>
      <c r="H289" s="168"/>
      <c r="I289" s="141"/>
      <c r="J289" s="142"/>
      <c r="K289" s="170"/>
      <c r="N289" s="1"/>
      <c r="O289" s="1"/>
      <c r="P289" s="1"/>
      <c r="Q289" s="1"/>
      <c r="R289" s="1"/>
      <c r="S289" s="1"/>
    </row>
    <row r="290" spans="1:19" s="62" customFormat="1">
      <c r="A290" s="1"/>
      <c r="B290" s="167" t="s">
        <v>20</v>
      </c>
      <c r="C290" s="168"/>
      <c r="D290" s="140"/>
      <c r="E290" s="168"/>
      <c r="F290" s="168"/>
      <c r="G290" s="169"/>
      <c r="H290" s="168"/>
      <c r="I290" s="141"/>
      <c r="J290" s="142"/>
      <c r="K290" s="170"/>
      <c r="N290" s="1"/>
      <c r="O290" s="1"/>
      <c r="P290" s="1"/>
      <c r="Q290" s="1"/>
      <c r="R290" s="1"/>
      <c r="S290" s="1"/>
    </row>
    <row r="291" spans="1:19" s="62" customFormat="1">
      <c r="A291" s="1"/>
      <c r="B291" s="167" t="s">
        <v>51</v>
      </c>
      <c r="C291" s="168"/>
      <c r="D291" s="140"/>
      <c r="E291" s="168"/>
      <c r="F291" s="168"/>
      <c r="G291" s="169"/>
      <c r="H291" s="168"/>
      <c r="I291" s="141"/>
      <c r="J291" s="142"/>
      <c r="K291" s="170"/>
      <c r="N291" s="1"/>
      <c r="O291" s="1"/>
      <c r="P291" s="1"/>
      <c r="Q291" s="1"/>
      <c r="R291" s="1"/>
      <c r="S291" s="1"/>
    </row>
    <row r="292" spans="1:19" s="62" customFormat="1">
      <c r="A292" s="1"/>
      <c r="B292" s="171" t="s">
        <v>23</v>
      </c>
      <c r="C292" s="168"/>
      <c r="D292" s="140"/>
      <c r="E292" s="168"/>
      <c r="F292" s="168"/>
      <c r="G292" s="169"/>
      <c r="H292" s="168"/>
      <c r="I292" s="141"/>
      <c r="J292" s="142"/>
      <c r="K292" s="170"/>
      <c r="N292" s="1"/>
      <c r="O292" s="1"/>
      <c r="P292" s="1"/>
      <c r="Q292" s="1"/>
      <c r="R292" s="1"/>
      <c r="S292" s="1"/>
    </row>
    <row r="293" spans="1:19" s="62" customFormat="1">
      <c r="A293" s="1"/>
      <c r="B293" s="216" t="s">
        <v>53</v>
      </c>
      <c r="C293" s="133"/>
      <c r="D293" s="134"/>
      <c r="E293" s="133"/>
      <c r="F293" s="133"/>
      <c r="G293" s="134"/>
      <c r="H293" s="133"/>
      <c r="I293" s="133"/>
      <c r="J293" s="133"/>
      <c r="K293" s="133"/>
      <c r="N293" s="1"/>
      <c r="O293" s="1"/>
      <c r="P293" s="1"/>
      <c r="Q293" s="1"/>
      <c r="R293" s="1"/>
      <c r="S293" s="1"/>
    </row>
    <row r="294" spans="1:19" s="62" customFormat="1">
      <c r="A294" s="1"/>
      <c r="B294" s="167" t="s">
        <v>52</v>
      </c>
      <c r="C294" s="168"/>
      <c r="D294" s="140"/>
      <c r="E294" s="168"/>
      <c r="F294" s="168"/>
      <c r="G294" s="169"/>
      <c r="H294" s="168"/>
      <c r="I294" s="141"/>
      <c r="J294" s="142"/>
      <c r="K294" s="170"/>
      <c r="N294" s="1"/>
      <c r="O294" s="1"/>
      <c r="P294" s="1"/>
      <c r="Q294" s="1"/>
      <c r="R294" s="1"/>
      <c r="S294" s="1"/>
    </row>
    <row r="295" spans="1:19" s="62" customFormat="1" ht="37.5">
      <c r="A295" s="1"/>
      <c r="B295" s="167" t="s">
        <v>54</v>
      </c>
      <c r="C295" s="168"/>
      <c r="D295" s="140"/>
      <c r="E295" s="168"/>
      <c r="F295" s="168"/>
      <c r="G295" s="169"/>
      <c r="H295" s="168"/>
      <c r="I295" s="141"/>
      <c r="J295" s="142"/>
      <c r="K295" s="170"/>
      <c r="N295" s="1"/>
      <c r="O295" s="1"/>
      <c r="P295" s="1"/>
      <c r="Q295" s="1"/>
      <c r="R295" s="1"/>
      <c r="S295" s="1"/>
    </row>
    <row r="296" spans="1:19" s="62" customFormat="1">
      <c r="A296" s="1"/>
      <c r="B296" s="167" t="s">
        <v>55</v>
      </c>
      <c r="C296" s="168"/>
      <c r="D296" s="140"/>
      <c r="E296" s="168"/>
      <c r="F296" s="168"/>
      <c r="G296" s="169"/>
      <c r="H296" s="168"/>
      <c r="I296" s="141"/>
      <c r="J296" s="142"/>
      <c r="K296" s="170"/>
      <c r="N296" s="1"/>
      <c r="O296" s="1"/>
      <c r="P296" s="1"/>
      <c r="Q296" s="1"/>
      <c r="R296" s="1"/>
      <c r="S296" s="1"/>
    </row>
    <row r="297" spans="1:19" s="62" customFormat="1" ht="37.5">
      <c r="A297" s="1"/>
      <c r="B297" s="167" t="s">
        <v>54</v>
      </c>
      <c r="C297" s="168"/>
      <c r="D297" s="140"/>
      <c r="E297" s="168"/>
      <c r="F297" s="168"/>
      <c r="G297" s="169"/>
      <c r="H297" s="168"/>
      <c r="I297" s="141"/>
      <c r="J297" s="142"/>
      <c r="K297" s="170"/>
      <c r="N297" s="1"/>
      <c r="O297" s="1"/>
      <c r="P297" s="1"/>
      <c r="Q297" s="1"/>
      <c r="R297" s="1"/>
      <c r="S297" s="1"/>
    </row>
    <row r="298" spans="1:19" s="62" customFormat="1">
      <c r="A298" s="1"/>
      <c r="B298" s="185" t="s">
        <v>56</v>
      </c>
      <c r="C298" s="145"/>
      <c r="D298" s="146"/>
      <c r="E298" s="145">
        <f>SUM(E299:E303)</f>
        <v>6</v>
      </c>
      <c r="F298" s="145"/>
      <c r="G298" s="146"/>
      <c r="H298" s="145">
        <f>SUM(H299:H303)</f>
        <v>8.714500000000001</v>
      </c>
      <c r="I298" s="147">
        <f t="shared" si="8"/>
        <v>2.714500000000001</v>
      </c>
      <c r="J298" s="148">
        <f t="shared" si="9"/>
        <v>31.149234035228648</v>
      </c>
      <c r="K298" s="149"/>
      <c r="N298" s="1"/>
      <c r="O298" s="1"/>
      <c r="P298" s="1"/>
      <c r="Q298" s="1"/>
      <c r="R298" s="1"/>
      <c r="S298" s="1"/>
    </row>
    <row r="299" spans="1:19" s="62" customFormat="1" ht="56.25">
      <c r="A299" s="1"/>
      <c r="B299" s="167" t="s">
        <v>116</v>
      </c>
      <c r="C299" s="168"/>
      <c r="D299" s="140"/>
      <c r="E299" s="168">
        <v>2</v>
      </c>
      <c r="F299" s="168"/>
      <c r="G299" s="169"/>
      <c r="H299" s="168">
        <v>1.4584999999999999</v>
      </c>
      <c r="I299" s="141">
        <f t="shared" si="8"/>
        <v>-0.54150000000000009</v>
      </c>
      <c r="J299" s="142">
        <f t="shared" si="9"/>
        <v>-37.127185464518348</v>
      </c>
      <c r="K299" s="167" t="s">
        <v>475</v>
      </c>
      <c r="N299" s="1"/>
      <c r="O299" s="1"/>
      <c r="P299" s="1"/>
      <c r="Q299" s="1"/>
      <c r="R299" s="1"/>
      <c r="S299" s="1"/>
    </row>
    <row r="300" spans="1:19" s="62" customFormat="1" ht="47.25" customHeight="1">
      <c r="A300" s="1"/>
      <c r="B300" s="167"/>
      <c r="C300" s="168"/>
      <c r="D300" s="140"/>
      <c r="E300" s="168"/>
      <c r="F300" s="168"/>
      <c r="G300" s="169"/>
      <c r="H300" s="168"/>
      <c r="I300" s="141"/>
      <c r="J300" s="142"/>
      <c r="K300" s="167" t="s">
        <v>476</v>
      </c>
      <c r="N300" s="1"/>
      <c r="O300" s="1"/>
      <c r="P300" s="1"/>
      <c r="Q300" s="1"/>
      <c r="R300" s="1"/>
      <c r="S300" s="1"/>
    </row>
    <row r="301" spans="1:19" s="62" customFormat="1" ht="37.5">
      <c r="A301" s="1"/>
      <c r="B301" s="167" t="s">
        <v>117</v>
      </c>
      <c r="C301" s="168"/>
      <c r="D301" s="140"/>
      <c r="E301" s="168">
        <v>1</v>
      </c>
      <c r="F301" s="168"/>
      <c r="G301" s="169"/>
      <c r="H301" s="168">
        <v>1.256</v>
      </c>
      <c r="I301" s="141">
        <f t="shared" si="8"/>
        <v>0.25600000000000001</v>
      </c>
      <c r="J301" s="142">
        <f t="shared" si="9"/>
        <v>20.382165605095544</v>
      </c>
      <c r="K301" s="167" t="s">
        <v>491</v>
      </c>
      <c r="N301" s="1"/>
      <c r="O301" s="1"/>
      <c r="P301" s="1"/>
      <c r="Q301" s="1"/>
      <c r="R301" s="1"/>
      <c r="S301" s="1"/>
    </row>
    <row r="302" spans="1:19" s="62" customFormat="1" ht="56.25">
      <c r="A302" s="1"/>
      <c r="B302" s="167" t="s">
        <v>118</v>
      </c>
      <c r="C302" s="168"/>
      <c r="D302" s="140"/>
      <c r="E302" s="168">
        <v>2</v>
      </c>
      <c r="F302" s="168"/>
      <c r="G302" s="169"/>
      <c r="H302" s="168">
        <v>3</v>
      </c>
      <c r="I302" s="141">
        <f t="shared" si="8"/>
        <v>1</v>
      </c>
      <c r="J302" s="142">
        <f t="shared" si="9"/>
        <v>33.333333333333336</v>
      </c>
      <c r="K302" s="167" t="s">
        <v>492</v>
      </c>
      <c r="N302" s="1"/>
      <c r="O302" s="1"/>
      <c r="P302" s="1"/>
      <c r="Q302" s="1"/>
      <c r="R302" s="1"/>
      <c r="S302" s="1"/>
    </row>
    <row r="303" spans="1:19" s="62" customFormat="1" ht="37.5">
      <c r="A303" s="1"/>
      <c r="B303" s="167" t="s">
        <v>119</v>
      </c>
      <c r="C303" s="168"/>
      <c r="D303" s="140"/>
      <c r="E303" s="168">
        <v>1</v>
      </c>
      <c r="F303" s="168"/>
      <c r="G303" s="169"/>
      <c r="H303" s="168">
        <v>3</v>
      </c>
      <c r="I303" s="141">
        <f t="shared" ref="I303:I356" si="10">+H303-E303</f>
        <v>2</v>
      </c>
      <c r="J303" s="142">
        <f t="shared" ref="J303:J356" si="11">+I303*100/H303</f>
        <v>66.666666666666671</v>
      </c>
      <c r="K303" s="170"/>
      <c r="N303" s="1"/>
      <c r="O303" s="1"/>
      <c r="P303" s="1"/>
      <c r="Q303" s="1"/>
      <c r="R303" s="1"/>
      <c r="S303" s="1"/>
    </row>
    <row r="304" spans="1:19" s="62" customFormat="1">
      <c r="A304" s="1"/>
      <c r="B304" s="167"/>
      <c r="C304" s="168"/>
      <c r="D304" s="140"/>
      <c r="E304" s="168"/>
      <c r="F304" s="168"/>
      <c r="G304" s="169"/>
      <c r="H304" s="168"/>
      <c r="I304" s="141"/>
      <c r="J304" s="142"/>
      <c r="K304" s="170"/>
      <c r="N304" s="1"/>
      <c r="O304" s="1"/>
      <c r="P304" s="1"/>
      <c r="Q304" s="1"/>
      <c r="R304" s="1"/>
      <c r="S304" s="1"/>
    </row>
    <row r="305" spans="1:19" s="62" customFormat="1" ht="27.75" customHeight="1">
      <c r="A305" s="16"/>
      <c r="B305" s="209" t="s">
        <v>127</v>
      </c>
      <c r="C305" s="210"/>
      <c r="D305" s="211"/>
      <c r="E305" s="210">
        <f>+E307+E384+E409+E414</f>
        <v>46.745000000000005</v>
      </c>
      <c r="F305" s="210"/>
      <c r="G305" s="211"/>
      <c r="H305" s="210">
        <f>+H307+H384+H409+H414</f>
        <v>79.853219999999993</v>
      </c>
      <c r="I305" s="212">
        <f t="shared" si="10"/>
        <v>33.108219999999989</v>
      </c>
      <c r="J305" s="213">
        <f t="shared" si="11"/>
        <v>41.461346204949521</v>
      </c>
      <c r="K305" s="256"/>
      <c r="N305" s="1"/>
      <c r="O305" s="1"/>
      <c r="P305" s="1"/>
      <c r="Q305" s="1"/>
      <c r="R305" s="1"/>
      <c r="S305" s="1"/>
    </row>
    <row r="306" spans="1:19" s="62" customFormat="1" ht="27.75" customHeight="1">
      <c r="A306" s="1"/>
      <c r="B306" s="215" t="s">
        <v>94</v>
      </c>
      <c r="C306" s="168"/>
      <c r="D306" s="169"/>
      <c r="E306" s="172"/>
      <c r="F306" s="139"/>
      <c r="G306" s="140"/>
      <c r="H306" s="172"/>
      <c r="I306" s="143"/>
      <c r="J306" s="143"/>
      <c r="K306" s="143"/>
      <c r="N306" s="1"/>
      <c r="O306" s="1"/>
      <c r="P306" s="1"/>
      <c r="Q306" s="1"/>
      <c r="R306" s="1"/>
      <c r="S306" s="1"/>
    </row>
    <row r="307" spans="1:19" s="62" customFormat="1">
      <c r="A307" s="1"/>
      <c r="B307" s="177" t="s">
        <v>38</v>
      </c>
      <c r="C307" s="121"/>
      <c r="D307" s="122"/>
      <c r="E307" s="121">
        <f>+E308+E378</f>
        <v>16.146000000000001</v>
      </c>
      <c r="F307" s="121"/>
      <c r="G307" s="122"/>
      <c r="H307" s="121">
        <f>+H308+H378</f>
        <v>40.684619999999995</v>
      </c>
      <c r="I307" s="123">
        <f t="shared" si="10"/>
        <v>24.538619999999995</v>
      </c>
      <c r="J307" s="124">
        <f t="shared" si="11"/>
        <v>60.314241597930618</v>
      </c>
      <c r="K307" s="229"/>
      <c r="N307" s="1"/>
      <c r="O307" s="1"/>
      <c r="P307" s="1"/>
      <c r="Q307" s="1"/>
      <c r="R307" s="1"/>
      <c r="S307" s="1"/>
    </row>
    <row r="308" spans="1:19" s="62" customFormat="1">
      <c r="A308" s="1"/>
      <c r="B308" s="179" t="s">
        <v>41</v>
      </c>
      <c r="C308" s="180"/>
      <c r="D308" s="181"/>
      <c r="E308" s="180">
        <f>+E309+E331+E372</f>
        <v>16.146000000000001</v>
      </c>
      <c r="F308" s="180"/>
      <c r="G308" s="181"/>
      <c r="H308" s="180">
        <f>+H309+H331+H372</f>
        <v>40.684619999999995</v>
      </c>
      <c r="I308" s="182">
        <f t="shared" si="10"/>
        <v>24.538619999999995</v>
      </c>
      <c r="J308" s="183">
        <f t="shared" si="11"/>
        <v>60.314241597930618</v>
      </c>
      <c r="K308" s="184"/>
      <c r="N308" s="1"/>
      <c r="O308" s="1"/>
      <c r="P308" s="1"/>
      <c r="Q308" s="1"/>
      <c r="R308" s="1"/>
      <c r="S308" s="1"/>
    </row>
    <row r="309" spans="1:19" s="62" customFormat="1">
      <c r="A309" s="1"/>
      <c r="B309" s="216" t="s">
        <v>42</v>
      </c>
      <c r="C309" s="133"/>
      <c r="D309" s="134"/>
      <c r="E309" s="133">
        <f>SUM(E310:E322)</f>
        <v>0.6956</v>
      </c>
      <c r="F309" s="133"/>
      <c r="G309" s="134"/>
      <c r="H309" s="133">
        <f>SUM(H310:H322)</f>
        <v>1.21272</v>
      </c>
      <c r="I309" s="135">
        <f t="shared" si="10"/>
        <v>0.51712000000000002</v>
      </c>
      <c r="J309" s="136">
        <f t="shared" si="11"/>
        <v>42.641335180420874</v>
      </c>
      <c r="K309" s="137"/>
      <c r="N309" s="1"/>
      <c r="O309" s="1"/>
      <c r="P309" s="1"/>
      <c r="Q309" s="1"/>
      <c r="R309" s="1"/>
      <c r="S309" s="1"/>
    </row>
    <row r="310" spans="1:19" s="62" customFormat="1">
      <c r="A310" s="1"/>
      <c r="B310" s="171" t="s">
        <v>112</v>
      </c>
      <c r="C310" s="168"/>
      <c r="D310" s="140"/>
      <c r="E310" s="168"/>
      <c r="F310" s="168"/>
      <c r="G310" s="169"/>
      <c r="H310" s="168">
        <v>0.41199999999999998</v>
      </c>
      <c r="I310" s="141">
        <f t="shared" si="10"/>
        <v>0.41199999999999998</v>
      </c>
      <c r="J310" s="142">
        <f t="shared" si="11"/>
        <v>100</v>
      </c>
      <c r="K310" s="170" t="s">
        <v>540</v>
      </c>
      <c r="L310" s="84">
        <v>412000</v>
      </c>
      <c r="N310" s="1"/>
      <c r="O310" s="1"/>
      <c r="P310" s="1"/>
      <c r="Q310" s="1"/>
      <c r="R310" s="1"/>
      <c r="S310" s="1"/>
    </row>
    <row r="311" spans="1:19" s="62" customFormat="1">
      <c r="A311" s="1"/>
      <c r="B311" s="171"/>
      <c r="C311" s="168"/>
      <c r="D311" s="140"/>
      <c r="E311" s="168"/>
      <c r="F311" s="168"/>
      <c r="G311" s="169"/>
      <c r="H311" s="168"/>
      <c r="I311" s="141"/>
      <c r="J311" s="142"/>
      <c r="K311" s="170" t="s">
        <v>541</v>
      </c>
      <c r="N311" s="1"/>
      <c r="O311" s="1"/>
      <c r="P311" s="1"/>
      <c r="Q311" s="1"/>
      <c r="R311" s="1"/>
      <c r="S311" s="1"/>
    </row>
    <row r="312" spans="1:19" s="62" customFormat="1">
      <c r="A312" s="1"/>
      <c r="B312" s="171"/>
      <c r="C312" s="168"/>
      <c r="D312" s="140"/>
      <c r="E312" s="168"/>
      <c r="F312" s="168"/>
      <c r="G312" s="169"/>
      <c r="H312" s="168"/>
      <c r="I312" s="141"/>
      <c r="J312" s="142"/>
      <c r="K312" s="170" t="s">
        <v>542</v>
      </c>
      <c r="N312" s="1"/>
      <c r="O312" s="1"/>
      <c r="P312" s="1"/>
      <c r="Q312" s="1"/>
      <c r="R312" s="1"/>
      <c r="S312" s="1"/>
    </row>
    <row r="313" spans="1:19" s="62" customFormat="1">
      <c r="A313" s="1"/>
      <c r="B313" s="171"/>
      <c r="C313" s="168"/>
      <c r="D313" s="140"/>
      <c r="E313" s="168"/>
      <c r="F313" s="168"/>
      <c r="G313" s="169"/>
      <c r="H313" s="168"/>
      <c r="I313" s="141"/>
      <c r="J313" s="142"/>
      <c r="K313" s="170" t="s">
        <v>543</v>
      </c>
      <c r="N313" s="1"/>
      <c r="O313" s="1"/>
      <c r="P313" s="1"/>
      <c r="Q313" s="1"/>
      <c r="R313" s="1"/>
      <c r="S313" s="1"/>
    </row>
    <row r="314" spans="1:19" s="62" customFormat="1" ht="37.5">
      <c r="A314" s="1"/>
      <c r="B314" s="171" t="s">
        <v>113</v>
      </c>
      <c r="C314" s="168"/>
      <c r="D314" s="140"/>
      <c r="E314" s="168">
        <v>0.3448</v>
      </c>
      <c r="F314" s="168"/>
      <c r="G314" s="169"/>
      <c r="H314" s="168">
        <v>0.42159999999999997</v>
      </c>
      <c r="I314" s="141">
        <f t="shared" si="10"/>
        <v>7.6799999999999979E-2</v>
      </c>
      <c r="J314" s="142">
        <f t="shared" si="11"/>
        <v>18.216318785578743</v>
      </c>
      <c r="K314" s="167" t="s">
        <v>539</v>
      </c>
      <c r="L314" s="84">
        <v>421600</v>
      </c>
      <c r="N314" s="1"/>
      <c r="O314" s="1"/>
      <c r="P314" s="1"/>
      <c r="Q314" s="1"/>
      <c r="R314" s="1"/>
      <c r="S314" s="1"/>
    </row>
    <row r="315" spans="1:19" s="62" customFormat="1">
      <c r="A315" s="1"/>
      <c r="B315" s="171"/>
      <c r="C315" s="168"/>
      <c r="D315" s="140"/>
      <c r="E315" s="168"/>
      <c r="F315" s="168"/>
      <c r="G315" s="169"/>
      <c r="H315" s="168"/>
      <c r="I315" s="141"/>
      <c r="J315" s="142"/>
      <c r="K315" s="170" t="s">
        <v>532</v>
      </c>
      <c r="N315" s="1"/>
      <c r="O315" s="1"/>
      <c r="P315" s="1"/>
      <c r="Q315" s="1"/>
      <c r="R315" s="1"/>
      <c r="S315" s="1"/>
    </row>
    <row r="316" spans="1:19" s="62" customFormat="1">
      <c r="A316" s="1"/>
      <c r="B316" s="171"/>
      <c r="C316" s="168"/>
      <c r="D316" s="140"/>
      <c r="E316" s="168"/>
      <c r="F316" s="168"/>
      <c r="G316" s="169"/>
      <c r="H316" s="168"/>
      <c r="I316" s="141"/>
      <c r="J316" s="142"/>
      <c r="K316" s="170" t="s">
        <v>533</v>
      </c>
      <c r="N316" s="1"/>
      <c r="O316" s="1"/>
      <c r="P316" s="1"/>
      <c r="Q316" s="1"/>
      <c r="R316" s="1"/>
      <c r="S316" s="1"/>
    </row>
    <row r="317" spans="1:19" s="62" customFormat="1">
      <c r="A317" s="1"/>
      <c r="B317" s="171"/>
      <c r="C317" s="168"/>
      <c r="D317" s="140"/>
      <c r="E317" s="168"/>
      <c r="F317" s="168"/>
      <c r="G317" s="169"/>
      <c r="H317" s="168"/>
      <c r="I317" s="141"/>
      <c r="J317" s="142"/>
      <c r="K317" s="170" t="s">
        <v>534</v>
      </c>
      <c r="N317" s="1"/>
      <c r="O317" s="1"/>
      <c r="P317" s="1"/>
      <c r="Q317" s="1"/>
      <c r="R317" s="1"/>
      <c r="S317" s="1"/>
    </row>
    <row r="318" spans="1:19" s="62" customFormat="1">
      <c r="A318" s="1"/>
      <c r="B318" s="171"/>
      <c r="C318" s="168"/>
      <c r="D318" s="140"/>
      <c r="E318" s="168"/>
      <c r="F318" s="168"/>
      <c r="G318" s="169"/>
      <c r="H318" s="168"/>
      <c r="I318" s="141"/>
      <c r="J318" s="142"/>
      <c r="K318" s="170" t="s">
        <v>535</v>
      </c>
      <c r="N318" s="1"/>
      <c r="O318" s="1"/>
      <c r="P318" s="1"/>
      <c r="Q318" s="1"/>
      <c r="R318" s="1"/>
      <c r="S318" s="1"/>
    </row>
    <row r="319" spans="1:19" s="62" customFormat="1" ht="37.5">
      <c r="A319" s="1"/>
      <c r="B319" s="171"/>
      <c r="C319" s="168"/>
      <c r="D319" s="140"/>
      <c r="E319" s="168"/>
      <c r="F319" s="168"/>
      <c r="G319" s="169"/>
      <c r="H319" s="168"/>
      <c r="I319" s="141"/>
      <c r="J319" s="142"/>
      <c r="K319" s="167" t="s">
        <v>538</v>
      </c>
      <c r="N319" s="1"/>
      <c r="O319" s="1"/>
      <c r="P319" s="1"/>
      <c r="Q319" s="1"/>
      <c r="R319" s="1"/>
      <c r="S319" s="1"/>
    </row>
    <row r="320" spans="1:19" s="62" customFormat="1">
      <c r="A320" s="1"/>
      <c r="B320" s="171"/>
      <c r="C320" s="168"/>
      <c r="D320" s="140"/>
      <c r="E320" s="168"/>
      <c r="F320" s="168"/>
      <c r="G320" s="169"/>
      <c r="H320" s="168"/>
      <c r="I320" s="141"/>
      <c r="J320" s="142"/>
      <c r="K320" s="170" t="s">
        <v>536</v>
      </c>
      <c r="N320" s="1"/>
      <c r="O320" s="1"/>
      <c r="P320" s="1"/>
      <c r="Q320" s="1"/>
      <c r="R320" s="1"/>
      <c r="S320" s="1"/>
    </row>
    <row r="321" spans="1:19" s="62" customFormat="1">
      <c r="A321" s="1"/>
      <c r="B321" s="171"/>
      <c r="C321" s="168"/>
      <c r="D321" s="140"/>
      <c r="E321" s="168"/>
      <c r="F321" s="168"/>
      <c r="G321" s="169"/>
      <c r="H321" s="168"/>
      <c r="I321" s="141"/>
      <c r="J321" s="142"/>
      <c r="K321" s="170" t="s">
        <v>537</v>
      </c>
      <c r="N321" s="1"/>
      <c r="O321" s="1"/>
      <c r="P321" s="1"/>
      <c r="Q321" s="1"/>
      <c r="R321" s="1"/>
      <c r="S321" s="1"/>
    </row>
    <row r="322" spans="1:19" s="62" customFormat="1" ht="75">
      <c r="A322" s="1"/>
      <c r="B322" s="171" t="s">
        <v>114</v>
      </c>
      <c r="C322" s="168"/>
      <c r="D322" s="140"/>
      <c r="E322" s="168">
        <v>0.3508</v>
      </c>
      <c r="F322" s="168"/>
      <c r="G322" s="169"/>
      <c r="H322" s="168">
        <v>0.37912000000000001</v>
      </c>
      <c r="I322" s="141">
        <f t="shared" si="10"/>
        <v>2.8320000000000012E-2</v>
      </c>
      <c r="J322" s="142">
        <f t="shared" si="11"/>
        <v>7.4699303650559221</v>
      </c>
      <c r="K322" s="167" t="s">
        <v>512</v>
      </c>
      <c r="L322" s="62">
        <f>SUM(L323:L324)</f>
        <v>379120</v>
      </c>
      <c r="N322" s="1"/>
      <c r="O322" s="1"/>
      <c r="P322" s="1"/>
      <c r="Q322" s="1"/>
      <c r="R322" s="1"/>
      <c r="S322" s="1"/>
    </row>
    <row r="323" spans="1:19" s="62" customFormat="1" ht="37.5">
      <c r="A323" s="1"/>
      <c r="B323" s="171"/>
      <c r="C323" s="168"/>
      <c r="D323" s="140"/>
      <c r="E323" s="168"/>
      <c r="F323" s="168"/>
      <c r="G323" s="169"/>
      <c r="H323" s="168"/>
      <c r="I323" s="141"/>
      <c r="J323" s="142"/>
      <c r="K323" s="167" t="s">
        <v>513</v>
      </c>
      <c r="L323" s="62">
        <v>36800</v>
      </c>
      <c r="N323" s="1"/>
      <c r="O323" s="1"/>
      <c r="P323" s="1"/>
      <c r="Q323" s="1"/>
      <c r="R323" s="1"/>
      <c r="S323" s="1"/>
    </row>
    <row r="324" spans="1:19" s="62" customFormat="1" ht="56.25">
      <c r="A324" s="1"/>
      <c r="B324" s="171"/>
      <c r="C324" s="168"/>
      <c r="D324" s="140"/>
      <c r="E324" s="168"/>
      <c r="F324" s="168"/>
      <c r="G324" s="169"/>
      <c r="H324" s="168"/>
      <c r="I324" s="141"/>
      <c r="J324" s="142"/>
      <c r="K324" s="217" t="s">
        <v>546</v>
      </c>
      <c r="L324" s="81">
        <v>342320</v>
      </c>
      <c r="N324" s="1"/>
      <c r="O324" s="1"/>
      <c r="P324" s="1"/>
      <c r="Q324" s="1"/>
      <c r="R324" s="1"/>
      <c r="S324" s="1"/>
    </row>
    <row r="325" spans="1:19" s="62" customFormat="1" ht="37.5">
      <c r="A325" s="1"/>
      <c r="B325" s="171" t="s">
        <v>544</v>
      </c>
      <c r="C325" s="168"/>
      <c r="D325" s="140"/>
      <c r="E325" s="168"/>
      <c r="F325" s="168"/>
      <c r="G325" s="169"/>
      <c r="H325" s="168">
        <v>0.25900000000000001</v>
      </c>
      <c r="I325" s="141">
        <f t="shared" si="10"/>
        <v>0.25900000000000001</v>
      </c>
      <c r="J325" s="142">
        <f t="shared" si="11"/>
        <v>100</v>
      </c>
      <c r="K325" s="217" t="s">
        <v>545</v>
      </c>
      <c r="L325" s="81">
        <v>259000</v>
      </c>
      <c r="N325" s="1"/>
      <c r="O325" s="1"/>
      <c r="P325" s="1"/>
      <c r="Q325" s="1"/>
      <c r="R325" s="1"/>
      <c r="S325" s="1"/>
    </row>
    <row r="326" spans="1:19" s="62" customFormat="1">
      <c r="A326" s="1"/>
      <c r="B326" s="171"/>
      <c r="C326" s="168"/>
      <c r="D326" s="140"/>
      <c r="E326" s="168"/>
      <c r="F326" s="168"/>
      <c r="G326" s="169"/>
      <c r="H326" s="168"/>
      <c r="I326" s="141"/>
      <c r="J326" s="142"/>
      <c r="K326" s="167"/>
      <c r="N326" s="1"/>
      <c r="O326" s="1"/>
      <c r="P326" s="1"/>
      <c r="Q326" s="1"/>
      <c r="R326" s="1"/>
      <c r="S326" s="1"/>
    </row>
    <row r="327" spans="1:19" s="62" customFormat="1">
      <c r="A327" s="1"/>
      <c r="B327" s="171"/>
      <c r="C327" s="168"/>
      <c r="D327" s="140"/>
      <c r="E327" s="168"/>
      <c r="F327" s="168"/>
      <c r="G327" s="169"/>
      <c r="H327" s="168"/>
      <c r="I327" s="141"/>
      <c r="J327" s="142"/>
      <c r="K327" s="167"/>
      <c r="N327" s="1"/>
      <c r="O327" s="1"/>
      <c r="P327" s="1"/>
      <c r="Q327" s="1"/>
      <c r="R327" s="1"/>
      <c r="S327" s="1"/>
    </row>
    <row r="328" spans="1:19" s="62" customFormat="1">
      <c r="A328" s="1"/>
      <c r="B328" s="171"/>
      <c r="C328" s="168"/>
      <c r="D328" s="140"/>
      <c r="E328" s="168"/>
      <c r="F328" s="168"/>
      <c r="G328" s="169"/>
      <c r="H328" s="168"/>
      <c r="I328" s="141"/>
      <c r="J328" s="142"/>
      <c r="K328" s="167"/>
      <c r="N328" s="1"/>
      <c r="O328" s="1"/>
      <c r="P328" s="1"/>
      <c r="Q328" s="1"/>
      <c r="R328" s="1"/>
      <c r="S328" s="1"/>
    </row>
    <row r="329" spans="1:19" s="62" customFormat="1">
      <c r="A329" s="1"/>
      <c r="B329" s="171"/>
      <c r="C329" s="168"/>
      <c r="D329" s="140"/>
      <c r="E329" s="168"/>
      <c r="F329" s="168"/>
      <c r="G329" s="169"/>
      <c r="H329" s="168"/>
      <c r="I329" s="141"/>
      <c r="J329" s="142"/>
      <c r="K329" s="167"/>
      <c r="N329" s="1"/>
      <c r="O329" s="1"/>
      <c r="P329" s="1"/>
      <c r="Q329" s="1"/>
      <c r="R329" s="1"/>
      <c r="S329" s="1"/>
    </row>
    <row r="330" spans="1:19" s="62" customFormat="1">
      <c r="A330" s="1"/>
      <c r="B330" s="171"/>
      <c r="C330" s="168"/>
      <c r="D330" s="140"/>
      <c r="E330" s="168"/>
      <c r="F330" s="168"/>
      <c r="G330" s="169"/>
      <c r="H330" s="168"/>
      <c r="I330" s="141"/>
      <c r="J330" s="142"/>
      <c r="K330" s="170"/>
      <c r="N330" s="1"/>
      <c r="O330" s="1"/>
      <c r="P330" s="1"/>
      <c r="Q330" s="1"/>
      <c r="R330" s="1"/>
      <c r="S330" s="1"/>
    </row>
    <row r="331" spans="1:19" s="62" customFormat="1">
      <c r="A331" s="1"/>
      <c r="B331" s="216" t="s">
        <v>43</v>
      </c>
      <c r="C331" s="133"/>
      <c r="D331" s="134"/>
      <c r="E331" s="133">
        <f>SUM(E334:E363)</f>
        <v>15.342500000000001</v>
      </c>
      <c r="F331" s="133"/>
      <c r="G331" s="134"/>
      <c r="H331" s="133">
        <f>SUM(H334:H363)</f>
        <v>38.371899999999997</v>
      </c>
      <c r="I331" s="135">
        <f t="shared" si="10"/>
        <v>23.029399999999995</v>
      </c>
      <c r="J331" s="136">
        <f t="shared" si="11"/>
        <v>60.016314021458406</v>
      </c>
      <c r="K331" s="137"/>
      <c r="N331" s="1"/>
      <c r="O331" s="1"/>
      <c r="P331" s="1"/>
      <c r="Q331" s="1"/>
      <c r="R331" s="1"/>
      <c r="S331" s="1"/>
    </row>
    <row r="332" spans="1:19" s="62" customFormat="1">
      <c r="A332" s="1"/>
      <c r="B332" s="167" t="s">
        <v>19</v>
      </c>
      <c r="C332" s="168"/>
      <c r="D332" s="140"/>
      <c r="E332" s="168"/>
      <c r="F332" s="168"/>
      <c r="G332" s="169"/>
      <c r="H332" s="168"/>
      <c r="I332" s="141"/>
      <c r="J332" s="142"/>
      <c r="K332" s="170"/>
      <c r="N332" s="1"/>
      <c r="O332" s="1"/>
      <c r="P332" s="1"/>
      <c r="Q332" s="1"/>
      <c r="R332" s="1"/>
      <c r="S332" s="1"/>
    </row>
    <row r="333" spans="1:19" s="62" customFormat="1">
      <c r="A333" s="1"/>
      <c r="B333" s="167"/>
      <c r="C333" s="168"/>
      <c r="D333" s="140"/>
      <c r="E333" s="168"/>
      <c r="F333" s="168"/>
      <c r="G333" s="169"/>
      <c r="H333" s="168"/>
      <c r="I333" s="141"/>
      <c r="J333" s="142"/>
      <c r="K333" s="170"/>
      <c r="N333" s="1"/>
      <c r="O333" s="1"/>
      <c r="P333" s="1"/>
      <c r="Q333" s="1"/>
      <c r="R333" s="1"/>
      <c r="S333" s="1"/>
    </row>
    <row r="334" spans="1:19" s="62" customFormat="1" ht="56.25">
      <c r="A334" s="1"/>
      <c r="B334" s="171" t="s">
        <v>85</v>
      </c>
      <c r="C334" s="168"/>
      <c r="D334" s="140"/>
      <c r="E334" s="168">
        <v>1.1062000000000001</v>
      </c>
      <c r="F334" s="168"/>
      <c r="G334" s="169"/>
      <c r="H334" s="168">
        <f>2</f>
        <v>2</v>
      </c>
      <c r="I334" s="141">
        <f t="shared" si="10"/>
        <v>0.89379999999999993</v>
      </c>
      <c r="J334" s="142">
        <f t="shared" si="11"/>
        <v>44.69</v>
      </c>
      <c r="K334" s="167" t="s">
        <v>495</v>
      </c>
      <c r="L334" s="62">
        <f>SUM(L335:L338)</f>
        <v>846400</v>
      </c>
      <c r="N334" s="1"/>
      <c r="O334" s="1"/>
      <c r="P334" s="1"/>
      <c r="Q334" s="1"/>
      <c r="R334" s="1"/>
      <c r="S334" s="1"/>
    </row>
    <row r="335" spans="1:19" s="62" customFormat="1" ht="37.5">
      <c r="A335" s="1"/>
      <c r="B335" s="171"/>
      <c r="C335" s="168"/>
      <c r="D335" s="140"/>
      <c r="E335" s="168"/>
      <c r="F335" s="168"/>
      <c r="G335" s="169"/>
      <c r="H335" s="168"/>
      <c r="I335" s="141"/>
      <c r="J335" s="142"/>
      <c r="K335" s="167" t="s">
        <v>496</v>
      </c>
      <c r="L335" s="62">
        <v>100000</v>
      </c>
      <c r="N335" s="1"/>
      <c r="O335" s="1"/>
      <c r="P335" s="1"/>
      <c r="Q335" s="1"/>
      <c r="R335" s="1"/>
      <c r="S335" s="1"/>
    </row>
    <row r="336" spans="1:19" s="62" customFormat="1" ht="78" customHeight="1">
      <c r="A336" s="1"/>
      <c r="B336" s="171"/>
      <c r="C336" s="168"/>
      <c r="D336" s="140"/>
      <c r="E336" s="168"/>
      <c r="F336" s="168"/>
      <c r="G336" s="169"/>
      <c r="H336" s="168"/>
      <c r="I336" s="141"/>
      <c r="J336" s="142"/>
      <c r="K336" s="167" t="s">
        <v>515</v>
      </c>
      <c r="L336" s="62">
        <v>346400</v>
      </c>
      <c r="N336" s="1"/>
      <c r="O336" s="1"/>
      <c r="P336" s="1"/>
      <c r="Q336" s="1"/>
      <c r="R336" s="1"/>
      <c r="S336" s="1"/>
    </row>
    <row r="337" spans="1:19" s="62" customFormat="1">
      <c r="A337" s="1"/>
      <c r="B337" s="171"/>
      <c r="C337" s="168"/>
      <c r="D337" s="140"/>
      <c r="E337" s="168"/>
      <c r="F337" s="168"/>
      <c r="G337" s="169"/>
      <c r="H337" s="168"/>
      <c r="I337" s="141"/>
      <c r="J337" s="142"/>
      <c r="K337" s="217" t="s">
        <v>557</v>
      </c>
      <c r="L337" s="81">
        <v>300000</v>
      </c>
      <c r="N337" s="1"/>
      <c r="O337" s="1"/>
      <c r="P337" s="1"/>
      <c r="Q337" s="1"/>
      <c r="R337" s="1"/>
      <c r="S337" s="1"/>
    </row>
    <row r="338" spans="1:19" s="62" customFormat="1" ht="37.5">
      <c r="A338" s="1"/>
      <c r="B338" s="171"/>
      <c r="C338" s="168"/>
      <c r="D338" s="140"/>
      <c r="E338" s="168"/>
      <c r="F338" s="168"/>
      <c r="G338" s="169"/>
      <c r="H338" s="168"/>
      <c r="I338" s="141"/>
      <c r="J338" s="142"/>
      <c r="K338" s="217" t="s">
        <v>559</v>
      </c>
      <c r="L338" s="81">
        <v>100000</v>
      </c>
      <c r="N338" s="1"/>
      <c r="O338" s="1"/>
      <c r="P338" s="1"/>
      <c r="Q338" s="1"/>
      <c r="R338" s="1"/>
      <c r="S338" s="1"/>
    </row>
    <row r="339" spans="1:19" s="62" customFormat="1">
      <c r="A339" s="1"/>
      <c r="B339" s="171"/>
      <c r="C339" s="168"/>
      <c r="D339" s="140"/>
      <c r="E339" s="168"/>
      <c r="F339" s="168"/>
      <c r="G339" s="169"/>
      <c r="H339" s="168"/>
      <c r="I339" s="141"/>
      <c r="J339" s="142"/>
      <c r="K339" s="167"/>
      <c r="N339" s="1"/>
      <c r="O339" s="1"/>
      <c r="P339" s="1"/>
      <c r="Q339" s="1"/>
      <c r="R339" s="1"/>
      <c r="S339" s="1"/>
    </row>
    <row r="340" spans="1:19" s="62" customFormat="1">
      <c r="A340" s="1"/>
      <c r="B340" s="171"/>
      <c r="C340" s="168"/>
      <c r="D340" s="140"/>
      <c r="E340" s="168"/>
      <c r="F340" s="168"/>
      <c r="G340" s="169"/>
      <c r="H340" s="168"/>
      <c r="I340" s="141"/>
      <c r="J340" s="142"/>
      <c r="K340" s="170"/>
      <c r="N340" s="1"/>
      <c r="O340" s="1"/>
      <c r="P340" s="1"/>
      <c r="Q340" s="1"/>
      <c r="R340" s="1"/>
      <c r="S340" s="1"/>
    </row>
    <row r="341" spans="1:19" s="62" customFormat="1" ht="56.25">
      <c r="A341" s="1"/>
      <c r="B341" s="171" t="s">
        <v>86</v>
      </c>
      <c r="C341" s="168"/>
      <c r="D341" s="140"/>
      <c r="E341" s="168">
        <v>2.0531000000000001</v>
      </c>
      <c r="F341" s="168"/>
      <c r="G341" s="169"/>
      <c r="H341" s="168">
        <f>4.3378-1+1.4748</f>
        <v>4.8125999999999998</v>
      </c>
      <c r="I341" s="141">
        <f t="shared" si="10"/>
        <v>2.7594999999999996</v>
      </c>
      <c r="J341" s="142">
        <f t="shared" si="11"/>
        <v>57.339068279100694</v>
      </c>
      <c r="K341" s="167" t="s">
        <v>558</v>
      </c>
      <c r="L341" s="62">
        <f>+L342+L343</f>
        <v>4337800</v>
      </c>
      <c r="N341" s="1"/>
      <c r="O341" s="1"/>
      <c r="P341" s="1"/>
      <c r="Q341" s="1"/>
      <c r="R341" s="1"/>
      <c r="S341" s="1"/>
    </row>
    <row r="342" spans="1:19" s="62" customFormat="1" ht="37.5">
      <c r="A342" s="1"/>
      <c r="B342" s="171"/>
      <c r="C342" s="168"/>
      <c r="D342" s="140"/>
      <c r="E342" s="168"/>
      <c r="F342" s="168"/>
      <c r="G342" s="169"/>
      <c r="H342" s="168"/>
      <c r="I342" s="141"/>
      <c r="J342" s="142"/>
      <c r="K342" s="217" t="s">
        <v>561</v>
      </c>
      <c r="L342" s="81">
        <v>4137800</v>
      </c>
      <c r="N342" s="1"/>
      <c r="O342" s="1"/>
      <c r="P342" s="1"/>
      <c r="Q342" s="1"/>
      <c r="R342" s="1"/>
      <c r="S342" s="1"/>
    </row>
    <row r="343" spans="1:19" s="62" customFormat="1" ht="37.5">
      <c r="A343" s="1"/>
      <c r="B343" s="171"/>
      <c r="C343" s="168"/>
      <c r="D343" s="140"/>
      <c r="E343" s="168"/>
      <c r="F343" s="168"/>
      <c r="G343" s="169"/>
      <c r="H343" s="168"/>
      <c r="I343" s="141"/>
      <c r="J343" s="142"/>
      <c r="K343" s="167" t="s">
        <v>563</v>
      </c>
      <c r="L343" s="84">
        <v>200000</v>
      </c>
      <c r="N343" s="1"/>
      <c r="O343" s="1"/>
      <c r="P343" s="1"/>
      <c r="Q343" s="1"/>
      <c r="R343" s="1"/>
      <c r="S343" s="1"/>
    </row>
    <row r="344" spans="1:19" s="62" customFormat="1">
      <c r="A344" s="1"/>
      <c r="B344" s="171"/>
      <c r="C344" s="168"/>
      <c r="D344" s="140"/>
      <c r="E344" s="168"/>
      <c r="F344" s="168"/>
      <c r="G344" s="169"/>
      <c r="H344" s="168"/>
      <c r="I344" s="141"/>
      <c r="J344" s="142"/>
      <c r="K344" s="167"/>
      <c r="L344" s="84"/>
      <c r="N344" s="1"/>
      <c r="O344" s="1"/>
      <c r="P344" s="1"/>
      <c r="Q344" s="1"/>
      <c r="R344" s="1"/>
      <c r="S344" s="1"/>
    </row>
    <row r="345" spans="1:19" s="62" customFormat="1">
      <c r="A345" s="1"/>
      <c r="B345" s="171" t="s">
        <v>87</v>
      </c>
      <c r="C345" s="168"/>
      <c r="D345" s="140"/>
      <c r="E345" s="168">
        <v>2.1779000000000002</v>
      </c>
      <c r="F345" s="168"/>
      <c r="G345" s="169"/>
      <c r="H345" s="168">
        <f>12.463-3.1037-1.4</f>
        <v>7.9592999999999989</v>
      </c>
      <c r="I345" s="141">
        <f t="shared" si="10"/>
        <v>5.7813999999999988</v>
      </c>
      <c r="J345" s="142">
        <f t="shared" si="11"/>
        <v>72.637040945811805</v>
      </c>
      <c r="K345" s="170" t="s">
        <v>497</v>
      </c>
      <c r="L345" s="62">
        <f>SUM(L346:L349)</f>
        <v>12463000</v>
      </c>
      <c r="N345" s="1"/>
      <c r="O345" s="1"/>
      <c r="P345" s="1"/>
      <c r="Q345" s="1"/>
      <c r="R345" s="1"/>
      <c r="S345" s="1"/>
    </row>
    <row r="346" spans="1:19" s="62" customFormat="1" ht="75">
      <c r="A346" s="1"/>
      <c r="B346" s="171"/>
      <c r="C346" s="168"/>
      <c r="D346" s="140"/>
      <c r="E346" s="168"/>
      <c r="F346" s="168"/>
      <c r="G346" s="169"/>
      <c r="H346" s="168"/>
      <c r="I346" s="141"/>
      <c r="J346" s="142"/>
      <c r="K346" s="167" t="s">
        <v>498</v>
      </c>
      <c r="L346" s="62">
        <v>1450000</v>
      </c>
      <c r="N346" s="1"/>
      <c r="O346" s="1"/>
      <c r="P346" s="1"/>
      <c r="Q346" s="1"/>
      <c r="R346" s="1"/>
      <c r="S346" s="1"/>
    </row>
    <row r="347" spans="1:19" s="62" customFormat="1" ht="56.25">
      <c r="A347" s="1"/>
      <c r="B347" s="171"/>
      <c r="C347" s="168"/>
      <c r="D347" s="140"/>
      <c r="E347" s="168"/>
      <c r="F347" s="168"/>
      <c r="G347" s="169"/>
      <c r="H347" s="168"/>
      <c r="I347" s="141"/>
      <c r="J347" s="142"/>
      <c r="K347" s="230" t="s">
        <v>499</v>
      </c>
      <c r="L347" s="62">
        <v>1950000</v>
      </c>
      <c r="N347" s="1"/>
      <c r="O347" s="1"/>
      <c r="P347" s="1"/>
      <c r="Q347" s="1"/>
      <c r="R347" s="1"/>
      <c r="S347" s="1"/>
    </row>
    <row r="348" spans="1:19" s="62" customFormat="1" ht="56.25">
      <c r="A348" s="1"/>
      <c r="B348" s="171"/>
      <c r="C348" s="168"/>
      <c r="D348" s="140"/>
      <c r="E348" s="168"/>
      <c r="F348" s="168"/>
      <c r="G348" s="169"/>
      <c r="H348" s="168"/>
      <c r="I348" s="141"/>
      <c r="J348" s="142"/>
      <c r="K348" s="167" t="s">
        <v>514</v>
      </c>
      <c r="L348" s="62">
        <v>421400</v>
      </c>
      <c r="N348" s="1"/>
      <c r="O348" s="1"/>
      <c r="P348" s="1"/>
      <c r="Q348" s="1"/>
      <c r="R348" s="1"/>
      <c r="S348" s="1"/>
    </row>
    <row r="349" spans="1:19" s="62" customFormat="1" ht="37.5">
      <c r="A349" s="1"/>
      <c r="B349" s="171"/>
      <c r="C349" s="168"/>
      <c r="D349" s="140"/>
      <c r="E349" s="168"/>
      <c r="F349" s="168"/>
      <c r="G349" s="169"/>
      <c r="H349" s="168"/>
      <c r="I349" s="141"/>
      <c r="J349" s="142"/>
      <c r="K349" s="217" t="s">
        <v>562</v>
      </c>
      <c r="L349" s="81">
        <v>8641600</v>
      </c>
      <c r="N349" s="1"/>
      <c r="O349" s="1"/>
      <c r="P349" s="1"/>
      <c r="Q349" s="1"/>
      <c r="R349" s="1"/>
      <c r="S349" s="1"/>
    </row>
    <row r="350" spans="1:19" s="62" customFormat="1">
      <c r="A350" s="1"/>
      <c r="B350" s="171"/>
      <c r="C350" s="168"/>
      <c r="D350" s="140"/>
      <c r="E350" s="168"/>
      <c r="F350" s="168"/>
      <c r="G350" s="169"/>
      <c r="H350" s="168"/>
      <c r="I350" s="141"/>
      <c r="J350" s="142"/>
      <c r="K350" s="170"/>
      <c r="N350" s="1"/>
      <c r="O350" s="1"/>
      <c r="P350" s="1"/>
      <c r="Q350" s="1"/>
      <c r="R350" s="1"/>
      <c r="S350" s="1"/>
    </row>
    <row r="351" spans="1:19" s="62" customFormat="1" ht="37.5">
      <c r="A351" s="1"/>
      <c r="B351" s="171" t="s">
        <v>88</v>
      </c>
      <c r="C351" s="168"/>
      <c r="D351" s="140"/>
      <c r="E351" s="168">
        <v>0.59630000000000005</v>
      </c>
      <c r="F351" s="168"/>
      <c r="G351" s="169"/>
      <c r="H351" s="168">
        <v>1.1000000000000001</v>
      </c>
      <c r="I351" s="141">
        <f t="shared" si="10"/>
        <v>0.50370000000000004</v>
      </c>
      <c r="J351" s="142">
        <f t="shared" si="11"/>
        <v>45.790909090909089</v>
      </c>
      <c r="K351" s="167" t="s">
        <v>550</v>
      </c>
      <c r="L351" s="62">
        <f>SUM(L352:L354)</f>
        <v>1100000</v>
      </c>
      <c r="N351" s="1"/>
      <c r="O351" s="1"/>
      <c r="P351" s="1"/>
      <c r="Q351" s="1"/>
      <c r="R351" s="1"/>
      <c r="S351" s="1"/>
    </row>
    <row r="352" spans="1:19" s="62" customFormat="1" ht="37.5">
      <c r="A352" s="1"/>
      <c r="B352" s="171"/>
      <c r="C352" s="168"/>
      <c r="D352" s="140"/>
      <c r="E352" s="168"/>
      <c r="F352" s="168"/>
      <c r="G352" s="169"/>
      <c r="H352" s="168"/>
      <c r="I352" s="141"/>
      <c r="J352" s="142"/>
      <c r="K352" s="217" t="s">
        <v>551</v>
      </c>
      <c r="L352" s="81">
        <v>202300</v>
      </c>
      <c r="N352" s="1"/>
      <c r="O352" s="1"/>
      <c r="P352" s="1"/>
      <c r="Q352" s="1"/>
      <c r="R352" s="1"/>
      <c r="S352" s="1"/>
    </row>
    <row r="353" spans="1:19" s="62" customFormat="1" ht="56.25">
      <c r="A353" s="1"/>
      <c r="B353" s="171"/>
      <c r="C353" s="168"/>
      <c r="D353" s="140"/>
      <c r="E353" s="168"/>
      <c r="F353" s="168"/>
      <c r="G353" s="169"/>
      <c r="H353" s="168"/>
      <c r="I353" s="141"/>
      <c r="J353" s="142"/>
      <c r="K353" s="167" t="s">
        <v>552</v>
      </c>
      <c r="L353" s="62">
        <v>797700</v>
      </c>
      <c r="N353" s="1"/>
      <c r="O353" s="1"/>
      <c r="P353" s="1"/>
      <c r="Q353" s="1"/>
      <c r="R353" s="1"/>
      <c r="S353" s="1"/>
    </row>
    <row r="354" spans="1:19" s="62" customFormat="1">
      <c r="A354" s="1"/>
      <c r="B354" s="171"/>
      <c r="C354" s="168"/>
      <c r="D354" s="140"/>
      <c r="E354" s="168"/>
      <c r="F354" s="168"/>
      <c r="G354" s="169"/>
      <c r="H354" s="168"/>
      <c r="I354" s="141"/>
      <c r="J354" s="142"/>
      <c r="K354" s="167" t="s">
        <v>560</v>
      </c>
      <c r="L354" s="81">
        <v>100000</v>
      </c>
      <c r="N354" s="1"/>
      <c r="O354" s="1"/>
      <c r="P354" s="1"/>
      <c r="Q354" s="1"/>
      <c r="R354" s="1"/>
      <c r="S354" s="1"/>
    </row>
    <row r="355" spans="1:19" s="62" customFormat="1">
      <c r="A355" s="1"/>
      <c r="B355" s="171"/>
      <c r="C355" s="168"/>
      <c r="D355" s="140"/>
      <c r="E355" s="168"/>
      <c r="F355" s="168"/>
      <c r="G355" s="169"/>
      <c r="H355" s="168"/>
      <c r="I355" s="141"/>
      <c r="J355" s="142"/>
      <c r="K355" s="170"/>
      <c r="N355" s="1"/>
      <c r="O355" s="1"/>
      <c r="P355" s="1"/>
      <c r="Q355" s="1"/>
      <c r="R355" s="1"/>
      <c r="S355" s="1"/>
    </row>
    <row r="356" spans="1:19" s="62" customFormat="1" ht="37.5">
      <c r="A356" s="1"/>
      <c r="B356" s="171" t="s">
        <v>120</v>
      </c>
      <c r="C356" s="168"/>
      <c r="D356" s="140"/>
      <c r="E356" s="168">
        <v>9.4090000000000007</v>
      </c>
      <c r="F356" s="168"/>
      <c r="G356" s="169"/>
      <c r="H356" s="168">
        <v>10</v>
      </c>
      <c r="I356" s="141">
        <f t="shared" si="10"/>
        <v>0.5909999999999993</v>
      </c>
      <c r="J356" s="142">
        <f t="shared" si="11"/>
        <v>5.909999999999993</v>
      </c>
      <c r="K356" s="217" t="s">
        <v>547</v>
      </c>
      <c r="L356" s="81">
        <v>7600000</v>
      </c>
      <c r="N356" s="1"/>
      <c r="O356" s="1"/>
      <c r="P356" s="1"/>
      <c r="Q356" s="1"/>
      <c r="R356" s="1"/>
      <c r="S356" s="1"/>
    </row>
    <row r="357" spans="1:19" s="62" customFormat="1">
      <c r="A357" s="1"/>
      <c r="B357" s="171"/>
      <c r="C357" s="168"/>
      <c r="D357" s="140"/>
      <c r="E357" s="168"/>
      <c r="F357" s="168"/>
      <c r="G357" s="169"/>
      <c r="H357" s="168"/>
      <c r="I357" s="141"/>
      <c r="J357" s="142"/>
      <c r="K357" s="217" t="s">
        <v>567</v>
      </c>
      <c r="L357" s="81"/>
      <c r="N357" s="1"/>
      <c r="O357" s="1"/>
      <c r="P357" s="1"/>
      <c r="Q357" s="1"/>
      <c r="R357" s="1"/>
      <c r="S357" s="1"/>
    </row>
    <row r="358" spans="1:19" s="62" customFormat="1">
      <c r="A358" s="1"/>
      <c r="B358" s="171"/>
      <c r="C358" s="168"/>
      <c r="D358" s="140"/>
      <c r="E358" s="168"/>
      <c r="F358" s="168"/>
      <c r="G358" s="169"/>
      <c r="H358" s="168"/>
      <c r="I358" s="141"/>
      <c r="J358" s="142"/>
      <c r="K358" s="217"/>
      <c r="L358" s="81"/>
      <c r="N358" s="1"/>
      <c r="O358" s="1"/>
      <c r="P358" s="1"/>
      <c r="Q358" s="1"/>
      <c r="R358" s="1"/>
      <c r="S358" s="1"/>
    </row>
    <row r="359" spans="1:19" s="62" customFormat="1" ht="43.5" customHeight="1">
      <c r="A359" s="1"/>
      <c r="B359" s="171" t="s">
        <v>548</v>
      </c>
      <c r="C359" s="168"/>
      <c r="D359" s="140"/>
      <c r="E359" s="168"/>
      <c r="F359" s="168"/>
      <c r="G359" s="169"/>
      <c r="H359" s="168">
        <v>8</v>
      </c>
      <c r="I359" s="141">
        <f t="shared" ref="I359:I422" si="12">+H359-E359</f>
        <v>8</v>
      </c>
      <c r="J359" s="142">
        <f t="shared" ref="J359:J422" si="13">+I359*100/H359</f>
        <v>100</v>
      </c>
      <c r="K359" s="167" t="s">
        <v>555</v>
      </c>
      <c r="L359" s="84">
        <v>8000000</v>
      </c>
      <c r="N359" s="1"/>
      <c r="O359" s="1"/>
      <c r="P359" s="1"/>
      <c r="Q359" s="1"/>
      <c r="R359" s="1"/>
      <c r="S359" s="1"/>
    </row>
    <row r="360" spans="1:19" s="62" customFormat="1" ht="37.5">
      <c r="A360" s="1"/>
      <c r="B360" s="171" t="s">
        <v>549</v>
      </c>
      <c r="C360" s="168"/>
      <c r="D360" s="140"/>
      <c r="E360" s="168"/>
      <c r="F360" s="168"/>
      <c r="G360" s="169"/>
      <c r="H360" s="168">
        <v>4</v>
      </c>
      <c r="I360" s="141">
        <f t="shared" si="12"/>
        <v>4</v>
      </c>
      <c r="J360" s="142">
        <f t="shared" si="13"/>
        <v>100</v>
      </c>
      <c r="K360" s="217" t="s">
        <v>556</v>
      </c>
      <c r="L360" s="81">
        <v>4000000</v>
      </c>
      <c r="N360" s="1"/>
      <c r="O360" s="1"/>
      <c r="P360" s="1"/>
      <c r="Q360" s="1"/>
      <c r="R360" s="1"/>
      <c r="S360" s="1"/>
    </row>
    <row r="361" spans="1:19" s="62" customFormat="1">
      <c r="A361" s="1"/>
      <c r="B361" s="171" t="s">
        <v>553</v>
      </c>
      <c r="C361" s="168"/>
      <c r="D361" s="140"/>
      <c r="E361" s="168"/>
      <c r="F361" s="168"/>
      <c r="G361" s="169"/>
      <c r="H361" s="168">
        <v>0.1</v>
      </c>
      <c r="I361" s="141">
        <f t="shared" si="12"/>
        <v>0.1</v>
      </c>
      <c r="J361" s="142">
        <f t="shared" si="13"/>
        <v>100</v>
      </c>
      <c r="K361" s="170" t="s">
        <v>516</v>
      </c>
      <c r="N361" s="1"/>
      <c r="O361" s="1"/>
      <c r="P361" s="1"/>
      <c r="Q361" s="1"/>
      <c r="R361" s="1"/>
      <c r="S361" s="1"/>
    </row>
    <row r="362" spans="1:19" s="62" customFormat="1">
      <c r="A362" s="1"/>
      <c r="B362" s="171" t="s">
        <v>554</v>
      </c>
      <c r="C362" s="168"/>
      <c r="D362" s="140"/>
      <c r="E362" s="168"/>
      <c r="F362" s="168"/>
      <c r="G362" s="169"/>
      <c r="H362" s="168">
        <f>0.4-0.18</f>
        <v>0.22000000000000003</v>
      </c>
      <c r="I362" s="141">
        <f t="shared" si="12"/>
        <v>0.22000000000000003</v>
      </c>
      <c r="J362" s="142">
        <f t="shared" si="13"/>
        <v>100</v>
      </c>
      <c r="K362" s="170" t="s">
        <v>517</v>
      </c>
      <c r="N362" s="1"/>
      <c r="O362" s="1"/>
      <c r="P362" s="1"/>
      <c r="Q362" s="1"/>
      <c r="R362" s="1"/>
      <c r="S362" s="1"/>
    </row>
    <row r="363" spans="1:19" s="62" customFormat="1" ht="40.5">
      <c r="A363" s="1"/>
      <c r="B363" s="167" t="s">
        <v>69</v>
      </c>
      <c r="C363" s="168"/>
      <c r="D363" s="140"/>
      <c r="E363" s="168"/>
      <c r="F363" s="168"/>
      <c r="G363" s="169"/>
      <c r="H363" s="168">
        <v>0.18</v>
      </c>
      <c r="I363" s="141">
        <f t="shared" si="12"/>
        <v>0.18</v>
      </c>
      <c r="J363" s="142">
        <f t="shared" si="13"/>
        <v>100</v>
      </c>
      <c r="K363" s="170"/>
      <c r="N363" s="1"/>
      <c r="O363" s="1"/>
      <c r="P363" s="1"/>
      <c r="Q363" s="1"/>
      <c r="R363" s="1"/>
      <c r="S363" s="1"/>
    </row>
    <row r="364" spans="1:19" s="62" customFormat="1">
      <c r="A364" s="1"/>
      <c r="B364" s="171" t="s">
        <v>2</v>
      </c>
      <c r="C364" s="172"/>
      <c r="D364" s="173"/>
      <c r="E364" s="172"/>
      <c r="F364" s="168"/>
      <c r="G364" s="169"/>
      <c r="H364" s="172"/>
      <c r="I364" s="141"/>
      <c r="J364" s="142"/>
      <c r="K364" s="170"/>
      <c r="N364" s="1"/>
      <c r="O364" s="1"/>
      <c r="P364" s="1"/>
      <c r="Q364" s="1"/>
      <c r="R364" s="1"/>
      <c r="S364" s="1"/>
    </row>
    <row r="365" spans="1:19" s="62" customFormat="1">
      <c r="A365" s="1"/>
      <c r="B365" s="171" t="s">
        <v>3</v>
      </c>
      <c r="C365" s="172"/>
      <c r="D365" s="173"/>
      <c r="E365" s="172"/>
      <c r="F365" s="168"/>
      <c r="G365" s="169"/>
      <c r="H365" s="172"/>
      <c r="I365" s="141"/>
      <c r="J365" s="142"/>
      <c r="K365" s="170"/>
      <c r="N365" s="1"/>
      <c r="O365" s="1"/>
      <c r="P365" s="1"/>
      <c r="Q365" s="1"/>
      <c r="R365" s="1"/>
      <c r="S365" s="1"/>
    </row>
    <row r="366" spans="1:19" s="62" customFormat="1" ht="37.5">
      <c r="A366" s="1"/>
      <c r="B366" s="171" t="s">
        <v>518</v>
      </c>
      <c r="C366" s="168"/>
      <c r="D366" s="140"/>
      <c r="E366" s="168"/>
      <c r="F366" s="168"/>
      <c r="G366" s="169"/>
      <c r="H366" s="168"/>
      <c r="I366" s="141"/>
      <c r="J366" s="142"/>
      <c r="K366" s="167" t="s">
        <v>519</v>
      </c>
      <c r="L366" s="62">
        <v>180000</v>
      </c>
      <c r="N366" s="1"/>
      <c r="O366" s="1"/>
      <c r="P366" s="1"/>
      <c r="Q366" s="1"/>
      <c r="R366" s="1"/>
      <c r="S366" s="1"/>
    </row>
    <row r="367" spans="1:19" s="62" customFormat="1">
      <c r="A367" s="1"/>
      <c r="B367" s="167"/>
      <c r="C367" s="168"/>
      <c r="D367" s="140"/>
      <c r="E367" s="168"/>
      <c r="F367" s="168"/>
      <c r="G367" s="169"/>
      <c r="H367" s="168"/>
      <c r="I367" s="141"/>
      <c r="J367" s="142"/>
      <c r="K367" s="170"/>
      <c r="N367" s="1"/>
      <c r="O367" s="1"/>
      <c r="P367" s="1"/>
      <c r="Q367" s="1"/>
      <c r="R367" s="1"/>
      <c r="S367" s="1"/>
    </row>
    <row r="368" spans="1:19" s="62" customFormat="1">
      <c r="A368" s="1"/>
      <c r="B368" s="167" t="s">
        <v>22</v>
      </c>
      <c r="C368" s="168"/>
      <c r="D368" s="140"/>
      <c r="E368" s="168"/>
      <c r="F368" s="168"/>
      <c r="G368" s="169"/>
      <c r="H368" s="168"/>
      <c r="I368" s="141"/>
      <c r="J368" s="142"/>
      <c r="K368" s="170"/>
      <c r="N368" s="1"/>
      <c r="O368" s="1"/>
      <c r="P368" s="1"/>
      <c r="Q368" s="1"/>
      <c r="R368" s="1"/>
      <c r="S368" s="1"/>
    </row>
    <row r="369" spans="1:19" s="62" customFormat="1">
      <c r="A369" s="1"/>
      <c r="B369" s="171" t="s">
        <v>21</v>
      </c>
      <c r="C369" s="168"/>
      <c r="D369" s="140"/>
      <c r="E369" s="168"/>
      <c r="F369" s="168"/>
      <c r="G369" s="169"/>
      <c r="H369" s="168"/>
      <c r="I369" s="141"/>
      <c r="J369" s="142"/>
      <c r="K369" s="170"/>
      <c r="N369" s="1"/>
      <c r="O369" s="1"/>
      <c r="P369" s="1"/>
      <c r="Q369" s="1"/>
      <c r="R369" s="1"/>
      <c r="S369" s="1"/>
    </row>
    <row r="370" spans="1:19" s="62" customFormat="1">
      <c r="A370" s="1"/>
      <c r="B370" s="167" t="s">
        <v>20</v>
      </c>
      <c r="C370" s="168"/>
      <c r="D370" s="140"/>
      <c r="E370" s="168"/>
      <c r="F370" s="168"/>
      <c r="G370" s="169"/>
      <c r="H370" s="168"/>
      <c r="I370" s="141"/>
      <c r="J370" s="142"/>
      <c r="K370" s="170"/>
      <c r="N370" s="1"/>
      <c r="O370" s="1"/>
      <c r="P370" s="1"/>
      <c r="Q370" s="1"/>
      <c r="R370" s="1"/>
      <c r="S370" s="1"/>
    </row>
    <row r="371" spans="1:19" s="62" customFormat="1">
      <c r="A371" s="1"/>
      <c r="B371" s="171" t="s">
        <v>17</v>
      </c>
      <c r="C371" s="168"/>
      <c r="D371" s="140"/>
      <c r="E371" s="168"/>
      <c r="F371" s="168"/>
      <c r="G371" s="169"/>
      <c r="H371" s="168"/>
      <c r="I371" s="141"/>
      <c r="J371" s="142"/>
      <c r="K371" s="170"/>
      <c r="N371" s="1"/>
      <c r="O371" s="1"/>
      <c r="P371" s="1"/>
      <c r="Q371" s="1"/>
      <c r="R371" s="1"/>
      <c r="S371" s="1"/>
    </row>
    <row r="372" spans="1:19" s="62" customFormat="1">
      <c r="A372" s="1"/>
      <c r="B372" s="216" t="s">
        <v>44</v>
      </c>
      <c r="C372" s="133"/>
      <c r="D372" s="134"/>
      <c r="E372" s="133">
        <f>SUM(E373:E377)</f>
        <v>0.1079</v>
      </c>
      <c r="F372" s="133"/>
      <c r="G372" s="134"/>
      <c r="H372" s="133">
        <f>SUM(H373:H377)</f>
        <v>1.1000000000000001</v>
      </c>
      <c r="I372" s="135">
        <f t="shared" si="12"/>
        <v>0.99210000000000009</v>
      </c>
      <c r="J372" s="136">
        <f t="shared" si="13"/>
        <v>90.190909090909088</v>
      </c>
      <c r="K372" s="137"/>
      <c r="N372" s="1"/>
      <c r="O372" s="1"/>
      <c r="P372" s="1"/>
      <c r="Q372" s="1"/>
      <c r="R372" s="1"/>
      <c r="S372" s="1"/>
    </row>
    <row r="373" spans="1:19" s="62" customFormat="1" ht="37.5">
      <c r="A373" s="1"/>
      <c r="B373" s="171" t="s">
        <v>90</v>
      </c>
      <c r="C373" s="168"/>
      <c r="D373" s="140"/>
      <c r="E373" s="168">
        <v>0.1079</v>
      </c>
      <c r="F373" s="168"/>
      <c r="G373" s="169"/>
      <c r="H373" s="168">
        <v>0.8</v>
      </c>
      <c r="I373" s="141">
        <f t="shared" si="12"/>
        <v>0.69210000000000005</v>
      </c>
      <c r="J373" s="142">
        <f t="shared" si="13"/>
        <v>86.512500000000003</v>
      </c>
      <c r="K373" s="167" t="s">
        <v>520</v>
      </c>
      <c r="N373" s="1"/>
      <c r="O373" s="1"/>
      <c r="P373" s="1"/>
      <c r="Q373" s="1"/>
      <c r="R373" s="1"/>
      <c r="S373" s="1"/>
    </row>
    <row r="374" spans="1:19" s="62" customFormat="1">
      <c r="A374" s="1"/>
      <c r="B374" s="171"/>
      <c r="C374" s="168"/>
      <c r="D374" s="140"/>
      <c r="E374" s="168"/>
      <c r="F374" s="168"/>
      <c r="G374" s="169"/>
      <c r="H374" s="168"/>
      <c r="I374" s="141"/>
      <c r="J374" s="142"/>
      <c r="K374" s="170" t="s">
        <v>521</v>
      </c>
      <c r="L374" s="62">
        <v>500000</v>
      </c>
      <c r="N374" s="1"/>
      <c r="O374" s="1"/>
      <c r="P374" s="1"/>
      <c r="Q374" s="1"/>
      <c r="R374" s="1"/>
      <c r="S374" s="1"/>
    </row>
    <row r="375" spans="1:19" s="62" customFormat="1">
      <c r="A375" s="1"/>
      <c r="B375" s="171"/>
      <c r="C375" s="168"/>
      <c r="D375" s="140"/>
      <c r="E375" s="168"/>
      <c r="F375" s="168"/>
      <c r="G375" s="169"/>
      <c r="H375" s="168"/>
      <c r="I375" s="141"/>
      <c r="J375" s="142"/>
      <c r="K375" s="170" t="s">
        <v>564</v>
      </c>
      <c r="L375" s="62">
        <v>300000</v>
      </c>
      <c r="N375" s="1"/>
      <c r="O375" s="1"/>
      <c r="P375" s="1"/>
      <c r="Q375" s="1"/>
      <c r="R375" s="1"/>
      <c r="S375" s="1"/>
    </row>
    <row r="376" spans="1:19" s="62" customFormat="1">
      <c r="A376" s="1"/>
      <c r="B376" s="171"/>
      <c r="C376" s="168"/>
      <c r="D376" s="140"/>
      <c r="E376" s="168"/>
      <c r="F376" s="168"/>
      <c r="G376" s="169"/>
      <c r="H376" s="168"/>
      <c r="I376" s="141"/>
      <c r="J376" s="142"/>
      <c r="K376" s="170"/>
      <c r="N376" s="1"/>
      <c r="O376" s="1"/>
      <c r="P376" s="1"/>
      <c r="Q376" s="1"/>
      <c r="R376" s="1"/>
      <c r="S376" s="1"/>
    </row>
    <row r="377" spans="1:19" s="62" customFormat="1" ht="37.5">
      <c r="A377" s="1"/>
      <c r="B377" s="171" t="s">
        <v>91</v>
      </c>
      <c r="C377" s="168"/>
      <c r="D377" s="140"/>
      <c r="E377" s="168"/>
      <c r="F377" s="168"/>
      <c r="G377" s="169"/>
      <c r="H377" s="168">
        <v>0.3</v>
      </c>
      <c r="I377" s="141">
        <f t="shared" si="12"/>
        <v>0.3</v>
      </c>
      <c r="J377" s="142">
        <f t="shared" si="13"/>
        <v>100</v>
      </c>
      <c r="K377" s="167" t="s">
        <v>565</v>
      </c>
      <c r="L377" s="62">
        <v>300000</v>
      </c>
      <c r="N377" s="1"/>
      <c r="O377" s="1"/>
      <c r="P377" s="1"/>
      <c r="Q377" s="1"/>
      <c r="R377" s="1"/>
      <c r="S377" s="1"/>
    </row>
    <row r="378" spans="1:19" s="62" customFormat="1">
      <c r="A378" s="1"/>
      <c r="B378" s="179" t="s">
        <v>45</v>
      </c>
      <c r="C378" s="180"/>
      <c r="D378" s="181"/>
      <c r="E378" s="180">
        <f>SUM(E379:E383)</f>
        <v>0</v>
      </c>
      <c r="F378" s="180"/>
      <c r="G378" s="181"/>
      <c r="H378" s="180">
        <f>SUM(H379:H383)</f>
        <v>0</v>
      </c>
      <c r="I378" s="184"/>
      <c r="J378" s="184"/>
      <c r="K378" s="184"/>
      <c r="N378" s="1"/>
      <c r="O378" s="1"/>
      <c r="P378" s="1"/>
      <c r="Q378" s="1"/>
      <c r="R378" s="1"/>
      <c r="S378" s="1"/>
    </row>
    <row r="379" spans="1:19" s="62" customFormat="1">
      <c r="A379" s="1"/>
      <c r="B379" s="171" t="s">
        <v>106</v>
      </c>
      <c r="C379" s="168"/>
      <c r="D379" s="140"/>
      <c r="E379" s="168"/>
      <c r="F379" s="168"/>
      <c r="G379" s="169"/>
      <c r="H379" s="168"/>
      <c r="I379" s="141"/>
      <c r="J379" s="142"/>
      <c r="K379" s="170"/>
      <c r="N379" s="1"/>
      <c r="O379" s="1"/>
      <c r="P379" s="1"/>
      <c r="Q379" s="1"/>
      <c r="R379" s="1"/>
      <c r="S379" s="1"/>
    </row>
    <row r="380" spans="1:19" s="62" customFormat="1">
      <c r="A380" s="1"/>
      <c r="B380" s="171" t="s">
        <v>107</v>
      </c>
      <c r="C380" s="168"/>
      <c r="D380" s="140"/>
      <c r="E380" s="168"/>
      <c r="F380" s="168"/>
      <c r="G380" s="169"/>
      <c r="H380" s="168"/>
      <c r="I380" s="141"/>
      <c r="J380" s="142"/>
      <c r="K380" s="170"/>
      <c r="N380" s="1"/>
      <c r="O380" s="1"/>
      <c r="P380" s="1"/>
      <c r="Q380" s="1"/>
      <c r="R380" s="1"/>
      <c r="S380" s="1"/>
    </row>
    <row r="381" spans="1:19" s="62" customFormat="1">
      <c r="A381" s="1"/>
      <c r="B381" s="171" t="s">
        <v>108</v>
      </c>
      <c r="C381" s="168"/>
      <c r="D381" s="140"/>
      <c r="E381" s="168"/>
      <c r="F381" s="168"/>
      <c r="G381" s="169"/>
      <c r="H381" s="168"/>
      <c r="I381" s="141"/>
      <c r="J381" s="142"/>
      <c r="K381" s="170"/>
      <c r="N381" s="1"/>
      <c r="O381" s="1"/>
      <c r="P381" s="1"/>
      <c r="Q381" s="1"/>
      <c r="R381" s="1"/>
      <c r="S381" s="1"/>
    </row>
    <row r="382" spans="1:19" s="62" customFormat="1">
      <c r="A382" s="1"/>
      <c r="B382" s="171" t="s">
        <v>109</v>
      </c>
      <c r="C382" s="168"/>
      <c r="D382" s="140"/>
      <c r="E382" s="168"/>
      <c r="F382" s="168"/>
      <c r="G382" s="169"/>
      <c r="H382" s="168"/>
      <c r="I382" s="141"/>
      <c r="J382" s="142"/>
      <c r="K382" s="170"/>
      <c r="N382" s="1"/>
      <c r="O382" s="1"/>
      <c r="P382" s="1"/>
      <c r="Q382" s="1"/>
      <c r="R382" s="1"/>
      <c r="S382" s="1"/>
    </row>
    <row r="383" spans="1:19" s="62" customFormat="1">
      <c r="A383" s="1"/>
      <c r="B383" s="171" t="s">
        <v>111</v>
      </c>
      <c r="C383" s="168"/>
      <c r="D383" s="140"/>
      <c r="E383" s="168"/>
      <c r="F383" s="168"/>
      <c r="G383" s="169"/>
      <c r="H383" s="168"/>
      <c r="I383" s="141"/>
      <c r="J383" s="142"/>
      <c r="K383" s="170"/>
      <c r="N383" s="1"/>
      <c r="O383" s="1"/>
      <c r="P383" s="1"/>
      <c r="Q383" s="1"/>
      <c r="R383" s="1"/>
      <c r="S383" s="1"/>
    </row>
    <row r="384" spans="1:19" s="62" customFormat="1">
      <c r="A384" s="1"/>
      <c r="B384" s="221" t="s">
        <v>46</v>
      </c>
      <c r="C384" s="222"/>
      <c r="D384" s="223"/>
      <c r="E384" s="222">
        <f>+E385+E398</f>
        <v>0</v>
      </c>
      <c r="F384" s="222"/>
      <c r="G384" s="223"/>
      <c r="H384" s="222">
        <f>+H385+H398</f>
        <v>1.613</v>
      </c>
      <c r="I384" s="224">
        <f t="shared" si="12"/>
        <v>1.613</v>
      </c>
      <c r="J384" s="225">
        <f t="shared" si="13"/>
        <v>100.00000000000001</v>
      </c>
      <c r="K384" s="226"/>
      <c r="N384" s="1"/>
      <c r="O384" s="1"/>
      <c r="P384" s="1"/>
      <c r="Q384" s="1"/>
      <c r="R384" s="1"/>
      <c r="S384" s="1"/>
    </row>
    <row r="385" spans="1:19" s="62" customFormat="1">
      <c r="A385" s="1"/>
      <c r="B385" s="179" t="s">
        <v>47</v>
      </c>
      <c r="C385" s="180"/>
      <c r="D385" s="181"/>
      <c r="E385" s="180">
        <f>+E387</f>
        <v>0</v>
      </c>
      <c r="F385" s="180"/>
      <c r="G385" s="181"/>
      <c r="H385" s="180">
        <f>+H387</f>
        <v>1.613</v>
      </c>
      <c r="I385" s="182">
        <f t="shared" si="12"/>
        <v>1.613</v>
      </c>
      <c r="J385" s="183">
        <f t="shared" si="13"/>
        <v>100.00000000000001</v>
      </c>
      <c r="K385" s="184"/>
      <c r="N385" s="1"/>
      <c r="O385" s="1"/>
      <c r="P385" s="1"/>
      <c r="Q385" s="1"/>
      <c r="R385" s="1"/>
      <c r="S385" s="1"/>
    </row>
    <row r="386" spans="1:19" s="62" customFormat="1">
      <c r="A386" s="1"/>
      <c r="B386" s="167" t="s">
        <v>19</v>
      </c>
      <c r="C386" s="168"/>
      <c r="D386" s="140"/>
      <c r="E386" s="168"/>
      <c r="F386" s="168"/>
      <c r="G386" s="169"/>
      <c r="H386" s="168"/>
      <c r="I386" s="168"/>
      <c r="J386" s="168"/>
      <c r="K386" s="170"/>
      <c r="N386" s="1"/>
      <c r="O386" s="1"/>
      <c r="P386" s="1"/>
      <c r="Q386" s="1"/>
      <c r="R386" s="1"/>
      <c r="S386" s="1"/>
    </row>
    <row r="387" spans="1:19" s="62" customFormat="1">
      <c r="A387" s="1"/>
      <c r="B387" s="216" t="s">
        <v>110</v>
      </c>
      <c r="C387" s="133"/>
      <c r="D387" s="134"/>
      <c r="E387" s="133"/>
      <c r="F387" s="133"/>
      <c r="G387" s="134"/>
      <c r="H387" s="133">
        <f>+H388+H389</f>
        <v>1.613</v>
      </c>
      <c r="I387" s="135">
        <f t="shared" si="12"/>
        <v>1.613</v>
      </c>
      <c r="J387" s="136">
        <f t="shared" si="13"/>
        <v>100.00000000000001</v>
      </c>
      <c r="K387" s="137"/>
      <c r="N387" s="1"/>
      <c r="O387" s="1"/>
      <c r="P387" s="1"/>
      <c r="Q387" s="1"/>
      <c r="R387" s="1"/>
      <c r="S387" s="1"/>
    </row>
    <row r="388" spans="1:19" s="62" customFormat="1" ht="55.5" customHeight="1">
      <c r="A388" s="16"/>
      <c r="B388" s="171" t="s">
        <v>509</v>
      </c>
      <c r="C388" s="168"/>
      <c r="D388" s="140"/>
      <c r="E388" s="168"/>
      <c r="F388" s="168"/>
      <c r="G388" s="169"/>
      <c r="H388" s="168">
        <v>1</v>
      </c>
      <c r="I388" s="141">
        <f t="shared" si="12"/>
        <v>1</v>
      </c>
      <c r="J388" s="142">
        <f t="shared" si="13"/>
        <v>100</v>
      </c>
      <c r="K388" s="170" t="s">
        <v>566</v>
      </c>
      <c r="N388" s="1"/>
      <c r="O388" s="1"/>
      <c r="P388" s="1"/>
      <c r="Q388" s="1"/>
      <c r="R388" s="1"/>
      <c r="S388" s="1"/>
    </row>
    <row r="389" spans="1:19" s="62" customFormat="1" ht="109.5" customHeight="1">
      <c r="A389" s="1"/>
      <c r="B389" s="171" t="s">
        <v>511</v>
      </c>
      <c r="C389" s="168"/>
      <c r="D389" s="140"/>
      <c r="E389" s="168"/>
      <c r="F389" s="168"/>
      <c r="G389" s="169"/>
      <c r="H389" s="168">
        <v>0.61299999999999999</v>
      </c>
      <c r="I389" s="141">
        <f t="shared" si="12"/>
        <v>0.61299999999999999</v>
      </c>
      <c r="J389" s="142">
        <f t="shared" si="13"/>
        <v>100</v>
      </c>
      <c r="K389" s="167" t="s">
        <v>510</v>
      </c>
      <c r="N389" s="1"/>
      <c r="O389" s="1"/>
      <c r="P389" s="1"/>
      <c r="Q389" s="1"/>
      <c r="R389" s="1"/>
      <c r="S389" s="1"/>
    </row>
    <row r="390" spans="1:19" s="62" customFormat="1">
      <c r="A390" s="1"/>
      <c r="B390" s="171" t="s">
        <v>17</v>
      </c>
      <c r="C390" s="168"/>
      <c r="D390" s="140"/>
      <c r="E390" s="168"/>
      <c r="F390" s="168"/>
      <c r="G390" s="169"/>
      <c r="H390" s="168"/>
      <c r="I390" s="141"/>
      <c r="J390" s="142"/>
      <c r="K390" s="170"/>
      <c r="N390" s="1"/>
      <c r="O390" s="1"/>
      <c r="P390" s="1"/>
      <c r="Q390" s="1"/>
      <c r="R390" s="1"/>
      <c r="S390" s="1"/>
    </row>
    <row r="391" spans="1:19" s="62" customFormat="1">
      <c r="A391" s="1"/>
      <c r="B391" s="171" t="s">
        <v>18</v>
      </c>
      <c r="C391" s="168"/>
      <c r="D391" s="140"/>
      <c r="E391" s="168"/>
      <c r="F391" s="168"/>
      <c r="G391" s="169"/>
      <c r="H391" s="168"/>
      <c r="I391" s="141"/>
      <c r="J391" s="142"/>
      <c r="K391" s="170"/>
      <c r="N391" s="1"/>
      <c r="O391" s="1"/>
      <c r="P391" s="1"/>
      <c r="Q391" s="1"/>
      <c r="R391" s="1"/>
      <c r="S391" s="1"/>
    </row>
    <row r="392" spans="1:19" s="62" customFormat="1">
      <c r="A392" s="1"/>
      <c r="B392" s="167" t="s">
        <v>22</v>
      </c>
      <c r="C392" s="168"/>
      <c r="D392" s="140"/>
      <c r="E392" s="168"/>
      <c r="F392" s="168"/>
      <c r="G392" s="169"/>
      <c r="H392" s="168"/>
      <c r="I392" s="141"/>
      <c r="J392" s="142"/>
      <c r="K392" s="170"/>
      <c r="N392" s="1"/>
      <c r="O392" s="1"/>
      <c r="P392" s="1"/>
      <c r="Q392" s="1"/>
      <c r="R392" s="1"/>
      <c r="S392" s="1"/>
    </row>
    <row r="393" spans="1:19" s="62" customFormat="1">
      <c r="A393" s="1"/>
      <c r="B393" s="167" t="s">
        <v>48</v>
      </c>
      <c r="C393" s="168"/>
      <c r="D393" s="140"/>
      <c r="E393" s="168"/>
      <c r="F393" s="168"/>
      <c r="G393" s="169"/>
      <c r="H393" s="168"/>
      <c r="I393" s="141"/>
      <c r="J393" s="142"/>
      <c r="K393" s="170"/>
      <c r="N393" s="1"/>
      <c r="O393" s="1"/>
      <c r="P393" s="1"/>
      <c r="Q393" s="1"/>
      <c r="R393" s="1"/>
      <c r="S393" s="1"/>
    </row>
    <row r="394" spans="1:19" s="62" customFormat="1">
      <c r="A394" s="1"/>
      <c r="B394" s="171" t="s">
        <v>23</v>
      </c>
      <c r="C394" s="168"/>
      <c r="D394" s="140"/>
      <c r="E394" s="168"/>
      <c r="F394" s="168"/>
      <c r="G394" s="169"/>
      <c r="H394" s="168"/>
      <c r="I394" s="141"/>
      <c r="J394" s="142"/>
      <c r="K394" s="170"/>
      <c r="N394" s="1"/>
      <c r="O394" s="1"/>
      <c r="P394" s="1"/>
      <c r="Q394" s="1"/>
      <c r="R394" s="1"/>
      <c r="S394" s="1"/>
    </row>
    <row r="395" spans="1:19" s="62" customFormat="1">
      <c r="A395" s="1"/>
      <c r="B395" s="167" t="s">
        <v>20</v>
      </c>
      <c r="C395" s="168"/>
      <c r="D395" s="140"/>
      <c r="E395" s="168"/>
      <c r="F395" s="168"/>
      <c r="G395" s="169"/>
      <c r="H395" s="168"/>
      <c r="I395" s="141"/>
      <c r="J395" s="142"/>
      <c r="K395" s="170"/>
      <c r="N395" s="1"/>
      <c r="O395" s="1"/>
      <c r="P395" s="1"/>
      <c r="Q395" s="1"/>
      <c r="R395" s="1"/>
      <c r="S395" s="1"/>
    </row>
    <row r="396" spans="1:19" s="62" customFormat="1">
      <c r="A396" s="1"/>
      <c r="B396" s="167" t="s">
        <v>48</v>
      </c>
      <c r="C396" s="168"/>
      <c r="D396" s="140"/>
      <c r="E396" s="168"/>
      <c r="F396" s="168"/>
      <c r="G396" s="169"/>
      <c r="H396" s="168"/>
      <c r="I396" s="141"/>
      <c r="J396" s="142"/>
      <c r="K396" s="170"/>
      <c r="N396" s="1"/>
      <c r="O396" s="1"/>
      <c r="P396" s="1"/>
      <c r="Q396" s="1"/>
      <c r="R396" s="1"/>
      <c r="S396" s="1"/>
    </row>
    <row r="397" spans="1:19" s="62" customFormat="1">
      <c r="A397" s="1"/>
      <c r="B397" s="171" t="s">
        <v>23</v>
      </c>
      <c r="C397" s="168"/>
      <c r="D397" s="140"/>
      <c r="E397" s="168"/>
      <c r="F397" s="168"/>
      <c r="G397" s="169"/>
      <c r="H397" s="168"/>
      <c r="I397" s="141"/>
      <c r="J397" s="142"/>
      <c r="K397" s="170"/>
      <c r="N397" s="1"/>
      <c r="O397" s="1"/>
      <c r="P397" s="1"/>
      <c r="Q397" s="1"/>
      <c r="R397" s="1"/>
      <c r="S397" s="1"/>
    </row>
    <row r="398" spans="1:19" s="62" customFormat="1">
      <c r="A398" s="1"/>
      <c r="B398" s="179" t="s">
        <v>49</v>
      </c>
      <c r="C398" s="180"/>
      <c r="D398" s="181"/>
      <c r="E398" s="180">
        <f>+E400</f>
        <v>0</v>
      </c>
      <c r="F398" s="180"/>
      <c r="G398" s="181"/>
      <c r="H398" s="180">
        <f>+H400</f>
        <v>0</v>
      </c>
      <c r="I398" s="182"/>
      <c r="J398" s="183"/>
      <c r="K398" s="184"/>
      <c r="N398" s="1"/>
      <c r="O398" s="1"/>
      <c r="P398" s="1"/>
      <c r="Q398" s="1"/>
      <c r="R398" s="1"/>
      <c r="S398" s="1"/>
    </row>
    <row r="399" spans="1:19" s="62" customFormat="1">
      <c r="A399" s="1"/>
      <c r="B399" s="167" t="s">
        <v>19</v>
      </c>
      <c r="C399" s="168"/>
      <c r="D399" s="140"/>
      <c r="E399" s="168"/>
      <c r="F399" s="168"/>
      <c r="G399" s="169"/>
      <c r="H399" s="168"/>
      <c r="I399" s="141"/>
      <c r="J399" s="142"/>
      <c r="K399" s="143"/>
      <c r="N399" s="1"/>
      <c r="O399" s="1"/>
      <c r="P399" s="1"/>
      <c r="Q399" s="1"/>
      <c r="R399" s="1"/>
      <c r="S399" s="1"/>
    </row>
    <row r="400" spans="1:19" s="62" customFormat="1">
      <c r="A400" s="1"/>
      <c r="B400" s="216" t="s">
        <v>50</v>
      </c>
      <c r="C400" s="133"/>
      <c r="D400" s="134"/>
      <c r="E400" s="133"/>
      <c r="F400" s="133"/>
      <c r="G400" s="134"/>
      <c r="H400" s="133">
        <f>+H401+H402</f>
        <v>0</v>
      </c>
      <c r="I400" s="182"/>
      <c r="J400" s="183"/>
      <c r="K400" s="184"/>
      <c r="N400" s="1"/>
      <c r="O400" s="1"/>
      <c r="P400" s="1"/>
      <c r="Q400" s="1"/>
      <c r="R400" s="1"/>
      <c r="S400" s="1"/>
    </row>
    <row r="401" spans="1:19" s="62" customFormat="1" ht="24.75" customHeight="1">
      <c r="A401" s="16"/>
      <c r="B401" s="171"/>
      <c r="C401" s="168"/>
      <c r="D401" s="140"/>
      <c r="E401" s="168"/>
      <c r="F401" s="168"/>
      <c r="G401" s="169"/>
      <c r="H401" s="168"/>
      <c r="I401" s="141"/>
      <c r="J401" s="142"/>
      <c r="K401" s="170"/>
      <c r="N401" s="1"/>
      <c r="O401" s="1"/>
      <c r="P401" s="1"/>
      <c r="Q401" s="1"/>
      <c r="R401" s="1"/>
      <c r="S401" s="1"/>
    </row>
    <row r="402" spans="1:19" s="62" customFormat="1" ht="24" customHeight="1">
      <c r="A402" s="1"/>
      <c r="B402" s="171"/>
      <c r="C402" s="168"/>
      <c r="D402" s="140"/>
      <c r="E402" s="168"/>
      <c r="F402" s="168"/>
      <c r="G402" s="169"/>
      <c r="H402" s="168"/>
      <c r="I402" s="141"/>
      <c r="J402" s="142"/>
      <c r="K402" s="167"/>
      <c r="N402" s="1"/>
      <c r="O402" s="1"/>
      <c r="P402" s="1"/>
      <c r="Q402" s="1"/>
      <c r="R402" s="1"/>
      <c r="S402" s="1"/>
    </row>
    <row r="403" spans="1:19" s="62" customFormat="1">
      <c r="A403" s="1"/>
      <c r="B403" s="167" t="s">
        <v>22</v>
      </c>
      <c r="C403" s="168"/>
      <c r="D403" s="140"/>
      <c r="E403" s="168"/>
      <c r="F403" s="168"/>
      <c r="G403" s="169"/>
      <c r="H403" s="168"/>
      <c r="I403" s="141"/>
      <c r="J403" s="142"/>
      <c r="K403" s="170"/>
      <c r="N403" s="1"/>
      <c r="O403" s="1"/>
      <c r="P403" s="1"/>
      <c r="Q403" s="1"/>
      <c r="R403" s="1"/>
      <c r="S403" s="1"/>
    </row>
    <row r="404" spans="1:19" s="62" customFormat="1">
      <c r="A404" s="1"/>
      <c r="B404" s="167" t="s">
        <v>51</v>
      </c>
      <c r="C404" s="168"/>
      <c r="D404" s="140"/>
      <c r="E404" s="168"/>
      <c r="F404" s="168"/>
      <c r="G404" s="169"/>
      <c r="H404" s="168"/>
      <c r="I404" s="141"/>
      <c r="J404" s="142"/>
      <c r="K404" s="170"/>
      <c r="N404" s="1"/>
      <c r="O404" s="1"/>
      <c r="P404" s="1"/>
      <c r="Q404" s="1"/>
      <c r="R404" s="1"/>
      <c r="S404" s="1"/>
    </row>
    <row r="405" spans="1:19" s="62" customFormat="1">
      <c r="A405" s="1"/>
      <c r="B405" s="171" t="s">
        <v>23</v>
      </c>
      <c r="C405" s="168"/>
      <c r="D405" s="140"/>
      <c r="E405" s="168"/>
      <c r="F405" s="168"/>
      <c r="G405" s="169"/>
      <c r="H405" s="168"/>
      <c r="I405" s="141"/>
      <c r="J405" s="142"/>
      <c r="K405" s="170"/>
      <c r="N405" s="1"/>
      <c r="O405" s="1"/>
      <c r="P405" s="1"/>
      <c r="Q405" s="1"/>
      <c r="R405" s="1"/>
      <c r="S405" s="1"/>
    </row>
    <row r="406" spans="1:19" s="62" customFormat="1">
      <c r="A406" s="1"/>
      <c r="B406" s="167" t="s">
        <v>20</v>
      </c>
      <c r="C406" s="168"/>
      <c r="D406" s="140"/>
      <c r="E406" s="168"/>
      <c r="F406" s="168"/>
      <c r="G406" s="169"/>
      <c r="H406" s="168"/>
      <c r="I406" s="141"/>
      <c r="J406" s="142"/>
      <c r="K406" s="170"/>
      <c r="N406" s="1"/>
      <c r="O406" s="1"/>
      <c r="P406" s="1"/>
      <c r="Q406" s="1"/>
      <c r="R406" s="1"/>
      <c r="S406" s="1"/>
    </row>
    <row r="407" spans="1:19" s="62" customFormat="1">
      <c r="A407" s="1"/>
      <c r="B407" s="167" t="s">
        <v>51</v>
      </c>
      <c r="C407" s="168"/>
      <c r="D407" s="140"/>
      <c r="E407" s="168"/>
      <c r="F407" s="168"/>
      <c r="G407" s="169"/>
      <c r="H407" s="168"/>
      <c r="I407" s="141"/>
      <c r="J407" s="142"/>
      <c r="K407" s="170"/>
      <c r="N407" s="1"/>
      <c r="O407" s="1"/>
      <c r="P407" s="1"/>
      <c r="Q407" s="1"/>
      <c r="R407" s="1"/>
      <c r="S407" s="1"/>
    </row>
    <row r="408" spans="1:19" s="62" customFormat="1">
      <c r="A408" s="1"/>
      <c r="B408" s="171" t="s">
        <v>23</v>
      </c>
      <c r="C408" s="168"/>
      <c r="D408" s="140"/>
      <c r="E408" s="168"/>
      <c r="F408" s="168"/>
      <c r="G408" s="169"/>
      <c r="H408" s="168"/>
      <c r="I408" s="141"/>
      <c r="J408" s="142"/>
      <c r="K408" s="170"/>
      <c r="N408" s="1"/>
      <c r="O408" s="1"/>
      <c r="P408" s="1"/>
      <c r="Q408" s="1"/>
      <c r="R408" s="1"/>
      <c r="S408" s="1"/>
    </row>
    <row r="409" spans="1:19" s="62" customFormat="1">
      <c r="A409" s="1"/>
      <c r="B409" s="216" t="s">
        <v>53</v>
      </c>
      <c r="C409" s="133"/>
      <c r="D409" s="134"/>
      <c r="E409" s="133">
        <f>SUM(E410:E413)</f>
        <v>0.32</v>
      </c>
      <c r="F409" s="133"/>
      <c r="G409" s="134"/>
      <c r="H409" s="133">
        <f>SUM(H410:H413)</f>
        <v>0</v>
      </c>
      <c r="I409" s="135">
        <f t="shared" si="12"/>
        <v>-0.32</v>
      </c>
      <c r="J409" s="136">
        <v>0</v>
      </c>
      <c r="K409" s="137"/>
      <c r="N409" s="1"/>
      <c r="O409" s="1"/>
      <c r="P409" s="1"/>
      <c r="Q409" s="1"/>
      <c r="R409" s="1"/>
      <c r="S409" s="1"/>
    </row>
    <row r="410" spans="1:19" s="62" customFormat="1">
      <c r="A410" s="1"/>
      <c r="B410" s="167" t="s">
        <v>52</v>
      </c>
      <c r="C410" s="168"/>
      <c r="D410" s="140"/>
      <c r="E410" s="168"/>
      <c r="F410" s="168"/>
      <c r="G410" s="169"/>
      <c r="H410" s="168"/>
      <c r="I410" s="141"/>
      <c r="J410" s="142"/>
      <c r="K410" s="170"/>
      <c r="N410" s="1"/>
      <c r="O410" s="1"/>
      <c r="P410" s="1"/>
      <c r="Q410" s="1"/>
      <c r="R410" s="1"/>
      <c r="S410" s="1"/>
    </row>
    <row r="411" spans="1:19" s="62" customFormat="1" ht="37.5">
      <c r="A411" s="1"/>
      <c r="B411" s="167" t="s">
        <v>54</v>
      </c>
      <c r="C411" s="168"/>
      <c r="D411" s="140"/>
      <c r="E411" s="168"/>
      <c r="F411" s="168"/>
      <c r="G411" s="169"/>
      <c r="H411" s="168"/>
      <c r="I411" s="141"/>
      <c r="J411" s="142"/>
      <c r="K411" s="170"/>
      <c r="N411" s="1"/>
      <c r="O411" s="1"/>
      <c r="P411" s="1"/>
      <c r="Q411" s="1"/>
      <c r="R411" s="1"/>
      <c r="S411" s="1"/>
    </row>
    <row r="412" spans="1:19" s="62" customFormat="1">
      <c r="A412" s="1"/>
      <c r="B412" s="167" t="s">
        <v>55</v>
      </c>
      <c r="C412" s="168"/>
      <c r="D412" s="140"/>
      <c r="E412" s="168"/>
      <c r="F412" s="168"/>
      <c r="G412" s="169"/>
      <c r="H412" s="168"/>
      <c r="I412" s="141"/>
      <c r="J412" s="142"/>
      <c r="K412" s="170"/>
      <c r="N412" s="1"/>
      <c r="O412" s="1"/>
      <c r="P412" s="1"/>
      <c r="Q412" s="1"/>
      <c r="R412" s="1"/>
      <c r="S412" s="1"/>
    </row>
    <row r="413" spans="1:19" s="62" customFormat="1">
      <c r="A413" s="1"/>
      <c r="B413" s="167" t="s">
        <v>121</v>
      </c>
      <c r="C413" s="168"/>
      <c r="D413" s="140"/>
      <c r="E413" s="168">
        <v>0.32</v>
      </c>
      <c r="F413" s="168"/>
      <c r="G413" s="169"/>
      <c r="H413" s="168"/>
      <c r="I413" s="141">
        <f t="shared" si="12"/>
        <v>-0.32</v>
      </c>
      <c r="J413" s="142">
        <v>0</v>
      </c>
      <c r="K413" s="170"/>
      <c r="N413" s="1"/>
      <c r="O413" s="1"/>
      <c r="P413" s="1"/>
      <c r="Q413" s="1"/>
      <c r="R413" s="1"/>
      <c r="S413" s="1"/>
    </row>
    <row r="414" spans="1:19">
      <c r="B414" s="185" t="s">
        <v>56</v>
      </c>
      <c r="C414" s="145"/>
      <c r="D414" s="146"/>
      <c r="E414" s="145">
        <f>SUM(E415:E426)</f>
        <v>30.279</v>
      </c>
      <c r="F414" s="145"/>
      <c r="G414" s="146"/>
      <c r="H414" s="145">
        <f>SUM(H415:H426)</f>
        <v>37.555599999999998</v>
      </c>
      <c r="I414" s="147">
        <f t="shared" si="12"/>
        <v>7.2765999999999984</v>
      </c>
      <c r="J414" s="148">
        <f t="shared" si="13"/>
        <v>19.375539200545322</v>
      </c>
      <c r="K414" s="149"/>
    </row>
    <row r="415" spans="1:19" ht="37.5">
      <c r="B415" s="167" t="s">
        <v>122</v>
      </c>
      <c r="C415" s="168"/>
      <c r="D415" s="140"/>
      <c r="E415" s="168">
        <v>14.279</v>
      </c>
      <c r="F415" s="168"/>
      <c r="G415" s="169"/>
      <c r="H415" s="168">
        <v>22.986999999999998</v>
      </c>
      <c r="I415" s="141">
        <f t="shared" si="12"/>
        <v>8.7079999999999984</v>
      </c>
      <c r="J415" s="142">
        <f t="shared" si="13"/>
        <v>37.882281289424455</v>
      </c>
      <c r="K415" s="167" t="s">
        <v>501</v>
      </c>
    </row>
    <row r="416" spans="1:19">
      <c r="B416" s="167"/>
      <c r="C416" s="168"/>
      <c r="D416" s="140"/>
      <c r="E416" s="168"/>
      <c r="F416" s="168"/>
      <c r="G416" s="169"/>
      <c r="H416" s="168"/>
      <c r="I416" s="141"/>
      <c r="J416" s="142"/>
      <c r="K416" s="167" t="s">
        <v>504</v>
      </c>
    </row>
    <row r="417" spans="1:19">
      <c r="B417" s="167"/>
      <c r="C417" s="168"/>
      <c r="D417" s="140"/>
      <c r="E417" s="168"/>
      <c r="F417" s="168"/>
      <c r="G417" s="169"/>
      <c r="H417" s="168"/>
      <c r="I417" s="141"/>
      <c r="J417" s="142"/>
      <c r="K417" s="167" t="s">
        <v>505</v>
      </c>
    </row>
    <row r="418" spans="1:19" ht="37.5">
      <c r="B418" s="167"/>
      <c r="C418" s="168"/>
      <c r="D418" s="140"/>
      <c r="E418" s="168"/>
      <c r="F418" s="168"/>
      <c r="G418" s="169"/>
      <c r="H418" s="168"/>
      <c r="I418" s="141"/>
      <c r="J418" s="142"/>
      <c r="K418" s="167" t="s">
        <v>506</v>
      </c>
    </row>
    <row r="419" spans="1:19" ht="56.25">
      <c r="B419" s="167"/>
      <c r="C419" s="168"/>
      <c r="D419" s="140"/>
      <c r="E419" s="168"/>
      <c r="F419" s="168"/>
      <c r="G419" s="169"/>
      <c r="H419" s="168"/>
      <c r="I419" s="141"/>
      <c r="J419" s="142"/>
      <c r="K419" s="167" t="s">
        <v>507</v>
      </c>
    </row>
    <row r="420" spans="1:19">
      <c r="B420" s="167"/>
      <c r="C420" s="168"/>
      <c r="D420" s="140"/>
      <c r="E420" s="168"/>
      <c r="F420" s="168"/>
      <c r="G420" s="169"/>
      <c r="H420" s="168"/>
      <c r="I420" s="141"/>
      <c r="J420" s="142"/>
      <c r="K420" s="167" t="s">
        <v>508</v>
      </c>
    </row>
    <row r="421" spans="1:19" ht="37.5">
      <c r="B421" s="167" t="s">
        <v>123</v>
      </c>
      <c r="C421" s="168"/>
      <c r="D421" s="140"/>
      <c r="E421" s="168">
        <v>2</v>
      </c>
      <c r="F421" s="168"/>
      <c r="G421" s="169"/>
      <c r="H421" s="168"/>
      <c r="I421" s="141">
        <f t="shared" si="12"/>
        <v>-2</v>
      </c>
      <c r="J421" s="142">
        <v>0</v>
      </c>
      <c r="K421" s="170"/>
    </row>
    <row r="422" spans="1:19" ht="75">
      <c r="B422" s="167" t="s">
        <v>124</v>
      </c>
      <c r="C422" s="168"/>
      <c r="D422" s="140"/>
      <c r="E422" s="168">
        <v>14</v>
      </c>
      <c r="F422" s="168"/>
      <c r="G422" s="169"/>
      <c r="H422" s="168">
        <v>14.5686</v>
      </c>
      <c r="I422" s="141">
        <f t="shared" si="12"/>
        <v>0.56859999999999999</v>
      </c>
      <c r="J422" s="142">
        <f t="shared" si="13"/>
        <v>3.9029144873220489</v>
      </c>
      <c r="K422" s="167" t="s">
        <v>500</v>
      </c>
      <c r="M422" s="1"/>
    </row>
    <row r="423" spans="1:19" ht="37.5">
      <c r="B423" s="167"/>
      <c r="C423" s="168"/>
      <c r="D423" s="140"/>
      <c r="E423" s="168"/>
      <c r="F423" s="168"/>
      <c r="G423" s="169"/>
      <c r="H423" s="168"/>
      <c r="I423" s="141"/>
      <c r="J423" s="142"/>
      <c r="K423" s="167" t="s">
        <v>502</v>
      </c>
    </row>
    <row r="424" spans="1:19" ht="37.5">
      <c r="B424" s="167"/>
      <c r="C424" s="168"/>
      <c r="D424" s="140"/>
      <c r="E424" s="168"/>
      <c r="F424" s="168"/>
      <c r="G424" s="169"/>
      <c r="H424" s="168"/>
      <c r="I424" s="141"/>
      <c r="J424" s="142"/>
      <c r="K424" s="167" t="s">
        <v>503</v>
      </c>
    </row>
    <row r="425" spans="1:19">
      <c r="B425" s="167"/>
      <c r="C425" s="168"/>
      <c r="D425" s="140"/>
      <c r="E425" s="168"/>
      <c r="F425" s="168"/>
      <c r="G425" s="169"/>
      <c r="H425" s="168"/>
      <c r="I425" s="141"/>
      <c r="J425" s="142"/>
      <c r="K425" s="167"/>
    </row>
    <row r="426" spans="1:19">
      <c r="B426" s="167"/>
      <c r="C426" s="168"/>
      <c r="D426" s="140"/>
      <c r="E426" s="168"/>
      <c r="F426" s="168"/>
      <c r="G426" s="169"/>
      <c r="H426" s="168"/>
      <c r="I426" s="141"/>
      <c r="J426" s="142"/>
      <c r="K426" s="170"/>
    </row>
    <row r="427" spans="1:19" ht="27.75" customHeight="1">
      <c r="A427" s="16"/>
      <c r="B427" s="257" t="s">
        <v>128</v>
      </c>
      <c r="C427" s="258"/>
      <c r="D427" s="259"/>
      <c r="E427" s="258">
        <f>+E429+E501+E524+E529</f>
        <v>33.637100000000004</v>
      </c>
      <c r="F427" s="258"/>
      <c r="G427" s="259"/>
      <c r="H427" s="258">
        <f>+H429+H501+H524+H529</f>
        <v>67.393299999999982</v>
      </c>
      <c r="I427" s="212">
        <f t="shared" ref="I427:I487" si="14">+H427-E427</f>
        <v>33.756199999999978</v>
      </c>
      <c r="J427" s="213">
        <f t="shared" ref="J427:J487" si="15">+I427*100/H427</f>
        <v>50.088361899476638</v>
      </c>
      <c r="K427" s="256"/>
      <c r="L427" s="86"/>
    </row>
    <row r="428" spans="1:19" ht="50.25" customHeight="1">
      <c r="B428" s="231" t="s">
        <v>82</v>
      </c>
      <c r="C428" s="168"/>
      <c r="D428" s="169"/>
      <c r="E428" s="172"/>
      <c r="F428" s="139"/>
      <c r="G428" s="140"/>
      <c r="H428" s="172"/>
      <c r="I428" s="141"/>
      <c r="J428" s="142"/>
      <c r="K428" s="232"/>
      <c r="L428" s="85"/>
    </row>
    <row r="429" spans="1:19">
      <c r="B429" s="177" t="s">
        <v>38</v>
      </c>
      <c r="C429" s="121"/>
      <c r="D429" s="122"/>
      <c r="E429" s="121">
        <f>+E430+E498</f>
        <v>32.637100000000004</v>
      </c>
      <c r="F429" s="121"/>
      <c r="G429" s="122"/>
      <c r="H429" s="121">
        <f>+H430+H498</f>
        <v>62.643299999999989</v>
      </c>
      <c r="I429" s="123">
        <f t="shared" si="14"/>
        <v>30.006199999999986</v>
      </c>
      <c r="J429" s="124">
        <f t="shared" si="15"/>
        <v>47.900094662956761</v>
      </c>
      <c r="K429" s="233"/>
    </row>
    <row r="430" spans="1:19" s="62" customFormat="1">
      <c r="A430" s="1"/>
      <c r="B430" s="179" t="s">
        <v>41</v>
      </c>
      <c r="C430" s="180"/>
      <c r="D430" s="181"/>
      <c r="E430" s="180">
        <f>+E431+E441+E486</f>
        <v>32.006300000000003</v>
      </c>
      <c r="F430" s="180"/>
      <c r="G430" s="181"/>
      <c r="H430" s="180">
        <f>+H431+H441+H486</f>
        <v>61.959299999999992</v>
      </c>
      <c r="I430" s="182">
        <f t="shared" si="14"/>
        <v>29.952999999999989</v>
      </c>
      <c r="J430" s="183">
        <f t="shared" si="15"/>
        <v>48.343025179432288</v>
      </c>
      <c r="K430" s="184"/>
      <c r="N430" s="1"/>
      <c r="O430" s="1"/>
      <c r="P430" s="1"/>
      <c r="Q430" s="1"/>
      <c r="R430" s="1"/>
      <c r="S430" s="1"/>
    </row>
    <row r="431" spans="1:19" s="62" customFormat="1">
      <c r="A431" s="1"/>
      <c r="B431" s="216" t="s">
        <v>42</v>
      </c>
      <c r="C431" s="133"/>
      <c r="D431" s="134"/>
      <c r="E431" s="133">
        <f>+E432+E435</f>
        <v>0</v>
      </c>
      <c r="F431" s="133"/>
      <c r="G431" s="134"/>
      <c r="H431" s="133">
        <f>SUM(H432:H440)</f>
        <v>9.3056000000000001</v>
      </c>
      <c r="I431" s="135">
        <f t="shared" si="14"/>
        <v>9.3056000000000001</v>
      </c>
      <c r="J431" s="136">
        <f t="shared" si="15"/>
        <v>100</v>
      </c>
      <c r="K431" s="137"/>
      <c r="N431" s="1"/>
      <c r="O431" s="1"/>
      <c r="P431" s="1"/>
      <c r="Q431" s="1"/>
      <c r="R431" s="1"/>
      <c r="S431" s="1"/>
    </row>
    <row r="432" spans="1:19" s="62" customFormat="1" ht="75">
      <c r="A432" s="1"/>
      <c r="B432" s="171" t="s">
        <v>210</v>
      </c>
      <c r="C432" s="168"/>
      <c r="D432" s="140"/>
      <c r="E432" s="168"/>
      <c r="F432" s="168"/>
      <c r="G432" s="169"/>
      <c r="H432" s="168">
        <f>0.144+0.085</f>
        <v>0.22899999999999998</v>
      </c>
      <c r="I432" s="141">
        <f t="shared" si="14"/>
        <v>0.22899999999999998</v>
      </c>
      <c r="J432" s="142">
        <f t="shared" si="15"/>
        <v>100</v>
      </c>
      <c r="K432" s="167" t="s">
        <v>512</v>
      </c>
      <c r="L432" s="62">
        <f>SUM(L433)</f>
        <v>144000</v>
      </c>
      <c r="N432" s="1"/>
      <c r="O432" s="1"/>
      <c r="P432" s="1"/>
      <c r="Q432" s="1"/>
      <c r="R432" s="1"/>
      <c r="S432" s="1"/>
    </row>
    <row r="433" spans="1:19" s="62" customFormat="1" ht="93.75">
      <c r="A433" s="1"/>
      <c r="B433" s="171"/>
      <c r="C433" s="168"/>
      <c r="D433" s="140"/>
      <c r="E433" s="168"/>
      <c r="F433" s="168"/>
      <c r="G433" s="169"/>
      <c r="H433" s="168"/>
      <c r="I433" s="141"/>
      <c r="J433" s="142"/>
      <c r="K433" s="234" t="s">
        <v>569</v>
      </c>
      <c r="L433" s="84">
        <v>144000</v>
      </c>
      <c r="N433" s="1"/>
      <c r="O433" s="1"/>
      <c r="P433" s="1"/>
      <c r="Q433" s="1"/>
      <c r="R433" s="1"/>
      <c r="S433" s="1"/>
    </row>
    <row r="434" spans="1:19" s="62" customFormat="1">
      <c r="A434" s="1"/>
      <c r="B434" s="171"/>
      <c r="C434" s="168"/>
      <c r="D434" s="140"/>
      <c r="E434" s="168"/>
      <c r="F434" s="168"/>
      <c r="G434" s="169"/>
      <c r="H434" s="168"/>
      <c r="I434" s="141"/>
      <c r="J434" s="142"/>
      <c r="K434" s="167"/>
      <c r="N434" s="1"/>
      <c r="O434" s="1"/>
      <c r="P434" s="1"/>
      <c r="Q434" s="1"/>
      <c r="R434" s="1"/>
      <c r="S434" s="1"/>
    </row>
    <row r="435" spans="1:19" s="62" customFormat="1">
      <c r="A435" s="1"/>
      <c r="B435" s="171" t="s">
        <v>568</v>
      </c>
      <c r="C435" s="168"/>
      <c r="D435" s="140"/>
      <c r="E435" s="168"/>
      <c r="F435" s="168"/>
      <c r="G435" s="169"/>
      <c r="H435" s="168">
        <v>9.0541</v>
      </c>
      <c r="I435" s="141">
        <f t="shared" si="14"/>
        <v>9.0541</v>
      </c>
      <c r="J435" s="142">
        <f t="shared" si="15"/>
        <v>100</v>
      </c>
      <c r="K435" s="170" t="s">
        <v>570</v>
      </c>
      <c r="L435" s="62">
        <f>+L436+L437</f>
        <v>9054100</v>
      </c>
      <c r="N435" s="1"/>
      <c r="O435" s="1"/>
      <c r="P435" s="1"/>
      <c r="Q435" s="1"/>
      <c r="R435" s="1"/>
      <c r="S435" s="1"/>
    </row>
    <row r="436" spans="1:19" s="62" customFormat="1" ht="75">
      <c r="A436" s="1"/>
      <c r="B436" s="171"/>
      <c r="C436" s="168"/>
      <c r="D436" s="140"/>
      <c r="E436" s="168"/>
      <c r="F436" s="168"/>
      <c r="G436" s="169"/>
      <c r="H436" s="168"/>
      <c r="I436" s="141"/>
      <c r="J436" s="142"/>
      <c r="K436" s="167" t="s">
        <v>571</v>
      </c>
      <c r="L436" s="62">
        <v>8932900</v>
      </c>
      <c r="N436" s="1"/>
      <c r="O436" s="1"/>
      <c r="P436" s="1"/>
      <c r="Q436" s="1"/>
      <c r="R436" s="1"/>
      <c r="S436" s="1"/>
    </row>
    <row r="437" spans="1:19" s="62" customFormat="1" ht="56.25">
      <c r="A437" s="1"/>
      <c r="B437" s="171"/>
      <c r="C437" s="168"/>
      <c r="D437" s="140"/>
      <c r="E437" s="168"/>
      <c r="F437" s="168"/>
      <c r="G437" s="169"/>
      <c r="H437" s="168"/>
      <c r="I437" s="141"/>
      <c r="J437" s="142"/>
      <c r="K437" s="167" t="s">
        <v>609</v>
      </c>
      <c r="L437" s="62">
        <v>121200</v>
      </c>
      <c r="N437" s="1"/>
      <c r="O437" s="1"/>
      <c r="P437" s="1"/>
      <c r="Q437" s="1"/>
      <c r="R437" s="1"/>
      <c r="S437" s="1"/>
    </row>
    <row r="438" spans="1:19" s="62" customFormat="1" ht="56.25">
      <c r="A438" s="1"/>
      <c r="B438" s="171" t="s">
        <v>607</v>
      </c>
      <c r="C438" s="168"/>
      <c r="D438" s="140"/>
      <c r="E438" s="168"/>
      <c r="F438" s="168"/>
      <c r="G438" s="169"/>
      <c r="H438" s="168">
        <v>2.2499999999999999E-2</v>
      </c>
      <c r="I438" s="141">
        <f t="shared" si="14"/>
        <v>2.2499999999999999E-2</v>
      </c>
      <c r="J438" s="142">
        <f t="shared" si="15"/>
        <v>100</v>
      </c>
      <c r="K438" s="167" t="s">
        <v>608</v>
      </c>
      <c r="N438" s="1"/>
      <c r="O438" s="1"/>
      <c r="P438" s="1"/>
      <c r="Q438" s="1"/>
      <c r="R438" s="1"/>
      <c r="S438" s="1"/>
    </row>
    <row r="439" spans="1:19" s="62" customFormat="1">
      <c r="A439" s="1"/>
      <c r="B439" s="171"/>
      <c r="C439" s="168"/>
      <c r="D439" s="140"/>
      <c r="E439" s="168"/>
      <c r="F439" s="168"/>
      <c r="G439" s="169"/>
      <c r="H439" s="168"/>
      <c r="I439" s="141"/>
      <c r="J439" s="142"/>
      <c r="K439" s="170"/>
      <c r="N439" s="1"/>
      <c r="O439" s="1"/>
      <c r="P439" s="1"/>
      <c r="Q439" s="1"/>
      <c r="R439" s="1"/>
      <c r="S439" s="1"/>
    </row>
    <row r="440" spans="1:19" s="62" customFormat="1">
      <c r="A440" s="1"/>
      <c r="B440" s="171"/>
      <c r="C440" s="168"/>
      <c r="D440" s="140"/>
      <c r="E440" s="168"/>
      <c r="F440" s="168"/>
      <c r="G440" s="169"/>
      <c r="H440" s="168"/>
      <c r="I440" s="141"/>
      <c r="J440" s="142"/>
      <c r="K440" s="170"/>
      <c r="N440" s="1"/>
      <c r="O440" s="1"/>
      <c r="P440" s="1"/>
      <c r="Q440" s="1"/>
      <c r="R440" s="1"/>
      <c r="S440" s="1"/>
    </row>
    <row r="441" spans="1:19" s="62" customFormat="1">
      <c r="A441" s="1"/>
      <c r="B441" s="216" t="s">
        <v>43</v>
      </c>
      <c r="C441" s="133"/>
      <c r="D441" s="134"/>
      <c r="E441" s="133">
        <f>+E443+E450+E459+E463+E469</f>
        <v>31.224100000000004</v>
      </c>
      <c r="F441" s="133"/>
      <c r="G441" s="134"/>
      <c r="H441" s="133">
        <f>SUM(H443:H474)</f>
        <v>49.951999999999991</v>
      </c>
      <c r="I441" s="135">
        <f t="shared" si="14"/>
        <v>18.727899999999988</v>
      </c>
      <c r="J441" s="136">
        <f t="shared" si="15"/>
        <v>37.491792120435605</v>
      </c>
      <c r="K441" s="137"/>
      <c r="N441" s="1"/>
      <c r="O441" s="1"/>
      <c r="P441" s="1"/>
      <c r="Q441" s="1"/>
      <c r="R441" s="1"/>
      <c r="S441" s="1"/>
    </row>
    <row r="442" spans="1:19" s="62" customFormat="1">
      <c r="A442" s="1"/>
      <c r="B442" s="167" t="s">
        <v>19</v>
      </c>
      <c r="C442" s="168"/>
      <c r="D442" s="140"/>
      <c r="E442" s="168"/>
      <c r="F442" s="168"/>
      <c r="G442" s="169"/>
      <c r="H442" s="168"/>
      <c r="I442" s="141"/>
      <c r="J442" s="142"/>
      <c r="K442" s="170"/>
      <c r="N442" s="1"/>
      <c r="O442" s="1"/>
      <c r="P442" s="1"/>
      <c r="Q442" s="1"/>
      <c r="R442" s="1"/>
      <c r="S442" s="1"/>
    </row>
    <row r="443" spans="1:19" s="62" customFormat="1" ht="37.5">
      <c r="A443" s="1"/>
      <c r="B443" s="171" t="s">
        <v>85</v>
      </c>
      <c r="C443" s="168"/>
      <c r="D443" s="140"/>
      <c r="E443" s="168">
        <v>5.5709</v>
      </c>
      <c r="F443" s="168"/>
      <c r="G443" s="169"/>
      <c r="H443" s="168">
        <f>2.1386+1-0.238-0.0052+0.0104</f>
        <v>2.9058000000000002</v>
      </c>
      <c r="I443" s="141">
        <f t="shared" si="14"/>
        <v>-2.6650999999999998</v>
      </c>
      <c r="J443" s="142">
        <f t="shared" si="15"/>
        <v>-91.716566866267456</v>
      </c>
      <c r="K443" s="167" t="s">
        <v>578</v>
      </c>
      <c r="L443" s="62">
        <f>SUM(L444:L448)</f>
        <v>2138600</v>
      </c>
      <c r="N443" s="1"/>
      <c r="O443" s="1"/>
      <c r="P443" s="1"/>
      <c r="Q443" s="1"/>
      <c r="R443" s="1"/>
      <c r="S443" s="1"/>
    </row>
    <row r="444" spans="1:19" s="62" customFormat="1">
      <c r="A444" s="1"/>
      <c r="B444" s="171"/>
      <c r="C444" s="168"/>
      <c r="D444" s="140"/>
      <c r="E444" s="168"/>
      <c r="F444" s="168"/>
      <c r="G444" s="169"/>
      <c r="H444" s="168"/>
      <c r="I444" s="141"/>
      <c r="J444" s="142"/>
      <c r="K444" s="170" t="s">
        <v>579</v>
      </c>
      <c r="L444" s="62">
        <v>770800</v>
      </c>
      <c r="N444" s="1"/>
      <c r="O444" s="1"/>
      <c r="P444" s="1"/>
      <c r="Q444" s="1"/>
      <c r="R444" s="1"/>
      <c r="S444" s="1"/>
    </row>
    <row r="445" spans="1:19" s="62" customFormat="1" ht="37.5">
      <c r="A445" s="1"/>
      <c r="B445" s="171"/>
      <c r="C445" s="168"/>
      <c r="D445" s="140"/>
      <c r="E445" s="168"/>
      <c r="F445" s="168"/>
      <c r="G445" s="169"/>
      <c r="H445" s="168"/>
      <c r="I445" s="141"/>
      <c r="J445" s="142"/>
      <c r="K445" s="167" t="s">
        <v>595</v>
      </c>
      <c r="L445" s="62">
        <v>163800</v>
      </c>
      <c r="N445" s="1"/>
      <c r="O445" s="1"/>
      <c r="P445" s="1"/>
      <c r="Q445" s="1"/>
      <c r="R445" s="1"/>
      <c r="S445" s="1"/>
    </row>
    <row r="446" spans="1:19" s="62" customFormat="1">
      <c r="A446" s="1"/>
      <c r="B446" s="171"/>
      <c r="C446" s="168"/>
      <c r="D446" s="140"/>
      <c r="E446" s="168"/>
      <c r="F446" s="168"/>
      <c r="G446" s="169"/>
      <c r="H446" s="168"/>
      <c r="I446" s="141"/>
      <c r="J446" s="142"/>
      <c r="K446" s="167" t="s">
        <v>596</v>
      </c>
      <c r="L446" s="62">
        <v>122900</v>
      </c>
      <c r="N446" s="1"/>
      <c r="O446" s="1"/>
      <c r="P446" s="1"/>
      <c r="Q446" s="1"/>
      <c r="R446" s="1"/>
      <c r="S446" s="1"/>
    </row>
    <row r="447" spans="1:19" s="62" customFormat="1" ht="37.5">
      <c r="A447" s="1"/>
      <c r="B447" s="171"/>
      <c r="C447" s="168"/>
      <c r="D447" s="140"/>
      <c r="E447" s="168"/>
      <c r="F447" s="168"/>
      <c r="G447" s="169"/>
      <c r="H447" s="168"/>
      <c r="I447" s="141"/>
      <c r="J447" s="142"/>
      <c r="K447" s="167" t="s">
        <v>614</v>
      </c>
      <c r="L447" s="62">
        <v>581100</v>
      </c>
      <c r="N447" s="1"/>
      <c r="O447" s="1"/>
      <c r="P447" s="1"/>
      <c r="Q447" s="1"/>
      <c r="R447" s="1"/>
      <c r="S447" s="1"/>
    </row>
    <row r="448" spans="1:19" s="62" customFormat="1">
      <c r="A448" s="1"/>
      <c r="B448" s="171"/>
      <c r="C448" s="168"/>
      <c r="D448" s="140"/>
      <c r="E448" s="168"/>
      <c r="F448" s="168"/>
      <c r="G448" s="169"/>
      <c r="H448" s="168"/>
      <c r="I448" s="141"/>
      <c r="J448" s="142"/>
      <c r="K448" s="167" t="s">
        <v>622</v>
      </c>
      <c r="L448" s="62">
        <v>500000</v>
      </c>
      <c r="N448" s="1"/>
      <c r="O448" s="1"/>
      <c r="P448" s="1"/>
      <c r="Q448" s="1"/>
      <c r="R448" s="1"/>
      <c r="S448" s="1"/>
    </row>
    <row r="449" spans="1:19" s="62" customFormat="1">
      <c r="A449" s="1"/>
      <c r="B449" s="171"/>
      <c r="C449" s="168"/>
      <c r="D449" s="140"/>
      <c r="E449" s="168"/>
      <c r="F449" s="168"/>
      <c r="G449" s="169"/>
      <c r="H449" s="168"/>
      <c r="I449" s="141"/>
      <c r="J449" s="142"/>
      <c r="K449" s="170"/>
      <c r="N449" s="1"/>
      <c r="O449" s="1"/>
      <c r="P449" s="1"/>
      <c r="Q449" s="1"/>
      <c r="R449" s="1"/>
      <c r="S449" s="1"/>
    </row>
    <row r="450" spans="1:19" s="62" customFormat="1">
      <c r="A450" s="1"/>
      <c r="B450" s="171" t="s">
        <v>86</v>
      </c>
      <c r="C450" s="168"/>
      <c r="D450" s="140"/>
      <c r="E450" s="168">
        <v>5.3220999999999998</v>
      </c>
      <c r="F450" s="168"/>
      <c r="G450" s="169"/>
      <c r="H450" s="168">
        <v>3.5646</v>
      </c>
      <c r="I450" s="141">
        <f t="shared" si="14"/>
        <v>-1.7574999999999998</v>
      </c>
      <c r="J450" s="142">
        <f t="shared" si="15"/>
        <v>-49.304269763788355</v>
      </c>
      <c r="K450" s="170" t="s">
        <v>580</v>
      </c>
      <c r="L450" s="62">
        <f>SUM(L451:L458)</f>
        <v>3564600</v>
      </c>
      <c r="N450" s="1"/>
      <c r="O450" s="1"/>
      <c r="P450" s="1"/>
      <c r="Q450" s="1"/>
      <c r="R450" s="1"/>
      <c r="S450" s="1"/>
    </row>
    <row r="451" spans="1:19" s="62" customFormat="1">
      <c r="A451" s="1"/>
      <c r="B451" s="171"/>
      <c r="C451" s="168"/>
      <c r="D451" s="140"/>
      <c r="E451" s="168"/>
      <c r="F451" s="168"/>
      <c r="G451" s="169"/>
      <c r="H451" s="168"/>
      <c r="I451" s="141"/>
      <c r="J451" s="142"/>
      <c r="K451" s="170" t="s">
        <v>625</v>
      </c>
      <c r="L451" s="62">
        <v>120000</v>
      </c>
      <c r="N451" s="1"/>
      <c r="O451" s="1"/>
      <c r="P451" s="1"/>
      <c r="Q451" s="1"/>
      <c r="R451" s="1"/>
      <c r="S451" s="1"/>
    </row>
    <row r="452" spans="1:19" s="62" customFormat="1" ht="37.5">
      <c r="A452" s="1"/>
      <c r="B452" s="171"/>
      <c r="C452" s="168"/>
      <c r="D452" s="140"/>
      <c r="E452" s="168"/>
      <c r="F452" s="168"/>
      <c r="G452" s="169"/>
      <c r="H452" s="168"/>
      <c r="I452" s="141"/>
      <c r="J452" s="142"/>
      <c r="K452" s="167" t="s">
        <v>597</v>
      </c>
      <c r="L452" s="62">
        <v>1200000</v>
      </c>
      <c r="N452" s="1"/>
      <c r="O452" s="1"/>
      <c r="P452" s="1"/>
      <c r="Q452" s="1"/>
      <c r="R452" s="1"/>
      <c r="S452" s="1"/>
    </row>
    <row r="453" spans="1:19" s="62" customFormat="1" ht="37.5">
      <c r="A453" s="1"/>
      <c r="B453" s="171"/>
      <c r="C453" s="168"/>
      <c r="D453" s="140"/>
      <c r="E453" s="168"/>
      <c r="F453" s="168"/>
      <c r="G453" s="169"/>
      <c r="H453" s="168"/>
      <c r="I453" s="141"/>
      <c r="J453" s="142"/>
      <c r="K453" s="167" t="s">
        <v>598</v>
      </c>
      <c r="L453" s="62">
        <v>201600</v>
      </c>
      <c r="N453" s="1"/>
      <c r="O453" s="1"/>
      <c r="P453" s="1"/>
      <c r="Q453" s="1"/>
      <c r="R453" s="1"/>
      <c r="S453" s="1"/>
    </row>
    <row r="454" spans="1:19" s="62" customFormat="1" ht="37.5">
      <c r="A454" s="1"/>
      <c r="B454" s="171"/>
      <c r="C454" s="168"/>
      <c r="D454" s="140"/>
      <c r="E454" s="168"/>
      <c r="F454" s="168"/>
      <c r="G454" s="169"/>
      <c r="H454" s="168"/>
      <c r="I454" s="141"/>
      <c r="J454" s="142"/>
      <c r="K454" s="167" t="s">
        <v>599</v>
      </c>
      <c r="L454" s="62">
        <v>883000</v>
      </c>
      <c r="N454" s="1"/>
      <c r="O454" s="1"/>
      <c r="P454" s="1"/>
      <c r="Q454" s="1"/>
      <c r="R454" s="1"/>
      <c r="S454" s="1"/>
    </row>
    <row r="455" spans="1:19" s="62" customFormat="1" ht="37.5">
      <c r="A455" s="1"/>
      <c r="B455" s="171"/>
      <c r="C455" s="168"/>
      <c r="D455" s="140"/>
      <c r="E455" s="168"/>
      <c r="F455" s="168"/>
      <c r="G455" s="169"/>
      <c r="H455" s="168"/>
      <c r="I455" s="141"/>
      <c r="J455" s="142"/>
      <c r="K455" s="167" t="s">
        <v>600</v>
      </c>
      <c r="L455" s="62">
        <v>60000</v>
      </c>
      <c r="N455" s="1"/>
      <c r="O455" s="1"/>
      <c r="P455" s="1"/>
      <c r="Q455" s="1"/>
      <c r="R455" s="1"/>
      <c r="S455" s="1"/>
    </row>
    <row r="456" spans="1:19" s="62" customFormat="1" ht="56.25">
      <c r="A456" s="1"/>
      <c r="B456" s="171"/>
      <c r="C456" s="168"/>
      <c r="D456" s="140"/>
      <c r="E456" s="168"/>
      <c r="F456" s="168"/>
      <c r="G456" s="169"/>
      <c r="H456" s="168"/>
      <c r="I456" s="141"/>
      <c r="J456" s="142"/>
      <c r="K456" s="167" t="s">
        <v>615</v>
      </c>
      <c r="L456" s="62">
        <v>600000</v>
      </c>
      <c r="N456" s="1"/>
      <c r="O456" s="1"/>
      <c r="P456" s="1"/>
      <c r="Q456" s="1"/>
      <c r="R456" s="1"/>
      <c r="S456" s="1"/>
    </row>
    <row r="457" spans="1:19" s="62" customFormat="1" ht="37.5">
      <c r="A457" s="1"/>
      <c r="B457" s="171"/>
      <c r="C457" s="168"/>
      <c r="D457" s="140"/>
      <c r="E457" s="168"/>
      <c r="F457" s="168"/>
      <c r="G457" s="169"/>
      <c r="H457" s="168"/>
      <c r="I457" s="141"/>
      <c r="J457" s="142"/>
      <c r="K457" s="167" t="s">
        <v>616</v>
      </c>
      <c r="N457" s="1"/>
      <c r="O457" s="1"/>
      <c r="P457" s="1"/>
      <c r="Q457" s="1"/>
      <c r="R457" s="1"/>
      <c r="S457" s="1"/>
    </row>
    <row r="458" spans="1:19" s="62" customFormat="1">
      <c r="A458" s="1"/>
      <c r="B458" s="171"/>
      <c r="C458" s="168"/>
      <c r="D458" s="140"/>
      <c r="E458" s="168"/>
      <c r="F458" s="168"/>
      <c r="G458" s="169"/>
      <c r="H458" s="168"/>
      <c r="I458" s="141"/>
      <c r="J458" s="142"/>
      <c r="K458" s="167" t="s">
        <v>622</v>
      </c>
      <c r="L458" s="62">
        <v>500000</v>
      </c>
      <c r="N458" s="1"/>
      <c r="O458" s="1"/>
      <c r="P458" s="1"/>
      <c r="Q458" s="1"/>
      <c r="R458" s="1"/>
      <c r="S458" s="1"/>
    </row>
    <row r="459" spans="1:19" s="62" customFormat="1" ht="37.5">
      <c r="A459" s="1"/>
      <c r="B459" s="171" t="s">
        <v>87</v>
      </c>
      <c r="C459" s="168"/>
      <c r="D459" s="140"/>
      <c r="E459" s="168">
        <v>15.505800000000001</v>
      </c>
      <c r="F459" s="168"/>
      <c r="G459" s="169"/>
      <c r="H459" s="168">
        <v>25.713699999999999</v>
      </c>
      <c r="I459" s="141">
        <f t="shared" si="14"/>
        <v>10.207899999999999</v>
      </c>
      <c r="J459" s="142">
        <f t="shared" si="15"/>
        <v>39.698293127787906</v>
      </c>
      <c r="K459" s="167" t="s">
        <v>593</v>
      </c>
      <c r="L459" s="62">
        <f>SUM(L460:L461)</f>
        <v>25713700</v>
      </c>
      <c r="N459" s="1"/>
      <c r="O459" s="1"/>
      <c r="P459" s="1"/>
      <c r="Q459" s="1"/>
      <c r="R459" s="1"/>
      <c r="S459" s="1"/>
    </row>
    <row r="460" spans="1:19" s="62" customFormat="1" ht="37.5">
      <c r="A460" s="1"/>
      <c r="B460" s="171"/>
      <c r="C460" s="168"/>
      <c r="D460" s="140"/>
      <c r="E460" s="168"/>
      <c r="F460" s="168"/>
      <c r="G460" s="169"/>
      <c r="H460" s="168"/>
      <c r="I460" s="141"/>
      <c r="J460" s="142"/>
      <c r="K460" s="167" t="s">
        <v>594</v>
      </c>
      <c r="L460" s="62">
        <v>19977000</v>
      </c>
      <c r="N460" s="1"/>
      <c r="O460" s="1"/>
      <c r="P460" s="1"/>
      <c r="Q460" s="1"/>
      <c r="R460" s="1"/>
      <c r="S460" s="1"/>
    </row>
    <row r="461" spans="1:19" s="62" customFormat="1" ht="37.5">
      <c r="A461" s="1"/>
      <c r="B461" s="171"/>
      <c r="C461" s="168"/>
      <c r="D461" s="140"/>
      <c r="E461" s="168"/>
      <c r="F461" s="168"/>
      <c r="G461" s="169"/>
      <c r="H461" s="168"/>
      <c r="I461" s="141"/>
      <c r="J461" s="142"/>
      <c r="K461" s="167" t="s">
        <v>611</v>
      </c>
      <c r="L461" s="62">
        <v>5736700</v>
      </c>
      <c r="N461" s="1"/>
      <c r="O461" s="1"/>
      <c r="P461" s="1"/>
      <c r="Q461" s="1"/>
      <c r="R461" s="1"/>
      <c r="S461" s="1"/>
    </row>
    <row r="462" spans="1:19" s="62" customFormat="1">
      <c r="A462" s="1"/>
      <c r="B462" s="171"/>
      <c r="C462" s="168"/>
      <c r="D462" s="140"/>
      <c r="E462" s="168"/>
      <c r="F462" s="168"/>
      <c r="G462" s="169"/>
      <c r="H462" s="168"/>
      <c r="I462" s="141"/>
      <c r="J462" s="142"/>
      <c r="K462" s="170"/>
      <c r="N462" s="1"/>
      <c r="O462" s="1"/>
      <c r="P462" s="1"/>
      <c r="Q462" s="1"/>
      <c r="R462" s="1"/>
      <c r="S462" s="1"/>
    </row>
    <row r="463" spans="1:19" s="62" customFormat="1" ht="37.5">
      <c r="A463" s="1"/>
      <c r="B463" s="171" t="s">
        <v>88</v>
      </c>
      <c r="C463" s="168"/>
      <c r="D463" s="140"/>
      <c r="E463" s="168">
        <v>1.7324999999999999</v>
      </c>
      <c r="F463" s="168"/>
      <c r="G463" s="169"/>
      <c r="H463" s="168">
        <v>0.69789999999999996</v>
      </c>
      <c r="I463" s="141">
        <f t="shared" si="14"/>
        <v>-1.0346</v>
      </c>
      <c r="J463" s="142">
        <f t="shared" si="15"/>
        <v>-148.24473420260782</v>
      </c>
      <c r="K463" s="167" t="s">
        <v>583</v>
      </c>
      <c r="L463" s="62">
        <f>SUM(L464:L467)</f>
        <v>697900</v>
      </c>
      <c r="N463" s="1"/>
      <c r="O463" s="1"/>
      <c r="P463" s="1"/>
      <c r="Q463" s="1"/>
      <c r="R463" s="1"/>
      <c r="S463" s="1"/>
    </row>
    <row r="464" spans="1:19" s="62" customFormat="1" ht="56.25">
      <c r="A464" s="1"/>
      <c r="B464" s="171"/>
      <c r="C464" s="168"/>
      <c r="D464" s="140"/>
      <c r="E464" s="168"/>
      <c r="F464" s="168"/>
      <c r="G464" s="169"/>
      <c r="H464" s="168"/>
      <c r="I464" s="141"/>
      <c r="J464" s="142"/>
      <c r="K464" s="167" t="s">
        <v>584</v>
      </c>
      <c r="L464" s="62">
        <v>437600</v>
      </c>
      <c r="N464" s="1"/>
      <c r="O464" s="1"/>
      <c r="P464" s="1"/>
      <c r="Q464" s="1"/>
      <c r="R464" s="1"/>
      <c r="S464" s="1"/>
    </row>
    <row r="465" spans="1:19" s="62" customFormat="1" ht="37.5">
      <c r="A465" s="1"/>
      <c r="B465" s="171"/>
      <c r="C465" s="168"/>
      <c r="D465" s="140"/>
      <c r="E465" s="168"/>
      <c r="F465" s="168"/>
      <c r="G465" s="169"/>
      <c r="H465" s="168"/>
      <c r="I465" s="141"/>
      <c r="J465" s="142"/>
      <c r="K465" s="167" t="s">
        <v>612</v>
      </c>
      <c r="L465" s="62">
        <v>33400</v>
      </c>
      <c r="N465" s="1"/>
      <c r="O465" s="1"/>
      <c r="P465" s="1"/>
      <c r="Q465" s="1"/>
      <c r="R465" s="1"/>
      <c r="S465" s="1"/>
    </row>
    <row r="466" spans="1:19" s="62" customFormat="1" ht="56.25">
      <c r="A466" s="1"/>
      <c r="B466" s="171"/>
      <c r="C466" s="168"/>
      <c r="D466" s="140"/>
      <c r="E466" s="168"/>
      <c r="F466" s="168"/>
      <c r="G466" s="169"/>
      <c r="H466" s="168"/>
      <c r="I466" s="141"/>
      <c r="J466" s="142"/>
      <c r="K466" s="167" t="s">
        <v>613</v>
      </c>
      <c r="L466" s="62">
        <v>26900</v>
      </c>
      <c r="N466" s="1"/>
      <c r="O466" s="1"/>
      <c r="P466" s="1"/>
      <c r="Q466" s="1"/>
      <c r="R466" s="1"/>
      <c r="S466" s="1"/>
    </row>
    <row r="467" spans="1:19" s="62" customFormat="1">
      <c r="A467" s="1"/>
      <c r="B467" s="171"/>
      <c r="C467" s="168"/>
      <c r="D467" s="140"/>
      <c r="E467" s="168"/>
      <c r="F467" s="168"/>
      <c r="G467" s="169"/>
      <c r="H467" s="168"/>
      <c r="I467" s="141"/>
      <c r="J467" s="142"/>
      <c r="K467" s="167" t="s">
        <v>624</v>
      </c>
      <c r="L467" s="62">
        <v>200000</v>
      </c>
      <c r="N467" s="1"/>
      <c r="O467" s="1"/>
      <c r="P467" s="1"/>
      <c r="Q467" s="1"/>
      <c r="R467" s="1"/>
      <c r="S467" s="1"/>
    </row>
    <row r="468" spans="1:19" s="62" customFormat="1">
      <c r="A468" s="1"/>
      <c r="B468" s="171"/>
      <c r="C468" s="168"/>
      <c r="D468" s="140"/>
      <c r="E468" s="168"/>
      <c r="F468" s="168"/>
      <c r="G468" s="169"/>
      <c r="H468" s="168"/>
      <c r="I468" s="141"/>
      <c r="J468" s="142"/>
      <c r="K468" s="170"/>
      <c r="N468" s="1"/>
      <c r="O468" s="1"/>
      <c r="P468" s="1"/>
      <c r="Q468" s="1"/>
      <c r="R468" s="1"/>
      <c r="S468" s="1"/>
    </row>
    <row r="469" spans="1:19" s="62" customFormat="1" ht="37.5">
      <c r="A469" s="1"/>
      <c r="B469" s="171" t="s">
        <v>89</v>
      </c>
      <c r="C469" s="168"/>
      <c r="D469" s="140"/>
      <c r="E469" s="168">
        <v>3.0928</v>
      </c>
      <c r="F469" s="168"/>
      <c r="G469" s="169"/>
      <c r="H469" s="168">
        <v>16.48</v>
      </c>
      <c r="I469" s="141">
        <f t="shared" si="14"/>
        <v>13.3872</v>
      </c>
      <c r="J469" s="142">
        <f t="shared" si="15"/>
        <v>81.233009708737868</v>
      </c>
      <c r="K469" s="167" t="s">
        <v>602</v>
      </c>
      <c r="L469" s="62">
        <f>SUM(L470:L472)</f>
        <v>16480000</v>
      </c>
      <c r="N469" s="1"/>
      <c r="O469" s="1"/>
      <c r="P469" s="1"/>
      <c r="Q469" s="1"/>
      <c r="R469" s="1"/>
      <c r="S469" s="1"/>
    </row>
    <row r="470" spans="1:19" s="62" customFormat="1" ht="37.5">
      <c r="A470" s="1"/>
      <c r="B470" s="171"/>
      <c r="C470" s="168"/>
      <c r="D470" s="140"/>
      <c r="E470" s="168"/>
      <c r="F470" s="168"/>
      <c r="G470" s="169"/>
      <c r="H470" s="168"/>
      <c r="I470" s="141"/>
      <c r="J470" s="142"/>
      <c r="K470" s="167" t="s">
        <v>601</v>
      </c>
      <c r="L470" s="62">
        <v>840000</v>
      </c>
      <c r="N470" s="1"/>
      <c r="O470" s="1"/>
      <c r="P470" s="1"/>
      <c r="Q470" s="1"/>
      <c r="R470" s="1"/>
      <c r="S470" s="1"/>
    </row>
    <row r="471" spans="1:19" s="62" customFormat="1" ht="79.5" customHeight="1">
      <c r="A471" s="1"/>
      <c r="B471" s="171"/>
      <c r="C471" s="168"/>
      <c r="D471" s="140"/>
      <c r="E471" s="168"/>
      <c r="F471" s="168"/>
      <c r="G471" s="169"/>
      <c r="H471" s="168"/>
      <c r="I471" s="141"/>
      <c r="J471" s="142"/>
      <c r="K471" s="167" t="s">
        <v>619</v>
      </c>
      <c r="L471" s="62">
        <v>1200000</v>
      </c>
      <c r="N471" s="1"/>
      <c r="O471" s="1"/>
      <c r="P471" s="1"/>
      <c r="Q471" s="1"/>
      <c r="R471" s="1"/>
      <c r="S471" s="1"/>
    </row>
    <row r="472" spans="1:19" s="62" customFormat="1" ht="56.25">
      <c r="A472" s="1"/>
      <c r="B472" s="171"/>
      <c r="C472" s="168"/>
      <c r="D472" s="140"/>
      <c r="E472" s="168"/>
      <c r="F472" s="168"/>
      <c r="G472" s="169"/>
      <c r="H472" s="168"/>
      <c r="I472" s="141"/>
      <c r="J472" s="142"/>
      <c r="K472" s="167" t="s">
        <v>620</v>
      </c>
      <c r="L472" s="62">
        <v>14440000</v>
      </c>
      <c r="N472" s="1"/>
      <c r="O472" s="1"/>
      <c r="P472" s="1"/>
      <c r="Q472" s="1"/>
      <c r="R472" s="1"/>
      <c r="S472" s="1"/>
    </row>
    <row r="473" spans="1:19" s="62" customFormat="1" ht="37.5">
      <c r="A473" s="1"/>
      <c r="B473" s="171" t="s">
        <v>585</v>
      </c>
      <c r="C473" s="168"/>
      <c r="D473" s="140"/>
      <c r="E473" s="168"/>
      <c r="F473" s="168"/>
      <c r="G473" s="169"/>
      <c r="H473" s="168">
        <v>0.05</v>
      </c>
      <c r="I473" s="141">
        <f t="shared" si="14"/>
        <v>0.05</v>
      </c>
      <c r="J473" s="142">
        <f t="shared" si="15"/>
        <v>100</v>
      </c>
      <c r="K473" s="167" t="s">
        <v>586</v>
      </c>
      <c r="N473" s="1"/>
      <c r="O473" s="1"/>
      <c r="P473" s="1"/>
      <c r="Q473" s="1"/>
      <c r="R473" s="1"/>
      <c r="S473" s="1"/>
    </row>
    <row r="474" spans="1:19" s="62" customFormat="1" ht="40.5">
      <c r="A474" s="1"/>
      <c r="B474" s="167" t="s">
        <v>69</v>
      </c>
      <c r="C474" s="168"/>
      <c r="D474" s="140"/>
      <c r="E474" s="168"/>
      <c r="F474" s="168"/>
      <c r="G474" s="169"/>
      <c r="H474" s="168">
        <v>0.54</v>
      </c>
      <c r="I474" s="141">
        <f t="shared" si="14"/>
        <v>0.54</v>
      </c>
      <c r="J474" s="142">
        <f t="shared" si="15"/>
        <v>100</v>
      </c>
      <c r="K474" s="170"/>
      <c r="N474" s="1"/>
      <c r="O474" s="1"/>
      <c r="P474" s="1"/>
      <c r="Q474" s="1"/>
      <c r="R474" s="1"/>
      <c r="S474" s="1"/>
    </row>
    <row r="475" spans="1:19" s="62" customFormat="1">
      <c r="A475" s="1"/>
      <c r="B475" s="171" t="s">
        <v>2</v>
      </c>
      <c r="C475" s="172"/>
      <c r="D475" s="173"/>
      <c r="E475" s="172"/>
      <c r="F475" s="168"/>
      <c r="G475" s="169"/>
      <c r="H475" s="172"/>
      <c r="I475" s="141"/>
      <c r="J475" s="142"/>
      <c r="K475" s="170"/>
      <c r="N475" s="1"/>
      <c r="O475" s="1"/>
      <c r="P475" s="1"/>
      <c r="Q475" s="1"/>
      <c r="R475" s="1"/>
      <c r="S475" s="1"/>
    </row>
    <row r="476" spans="1:19" s="62" customFormat="1">
      <c r="A476" s="1"/>
      <c r="B476" s="171" t="s">
        <v>3</v>
      </c>
      <c r="C476" s="172"/>
      <c r="D476" s="173"/>
      <c r="E476" s="172"/>
      <c r="F476" s="168"/>
      <c r="G476" s="169"/>
      <c r="H476" s="172"/>
      <c r="I476" s="141"/>
      <c r="J476" s="142"/>
      <c r="K476" s="170"/>
      <c r="L476" s="62">
        <f>SUM(L477:L479)</f>
        <v>540000</v>
      </c>
      <c r="N476" s="1"/>
      <c r="O476" s="1"/>
      <c r="P476" s="1"/>
      <c r="Q476" s="1"/>
      <c r="R476" s="1"/>
      <c r="S476" s="1"/>
    </row>
    <row r="477" spans="1:19" s="62" customFormat="1" ht="37.5">
      <c r="A477" s="1"/>
      <c r="B477" s="171" t="s">
        <v>581</v>
      </c>
      <c r="C477" s="172"/>
      <c r="D477" s="173"/>
      <c r="E477" s="172"/>
      <c r="F477" s="168"/>
      <c r="G477" s="169"/>
      <c r="H477" s="172"/>
      <c r="I477" s="141"/>
      <c r="J477" s="142"/>
      <c r="K477" s="167" t="s">
        <v>582</v>
      </c>
      <c r="L477" s="62">
        <v>180000</v>
      </c>
      <c r="N477" s="1"/>
      <c r="O477" s="1"/>
      <c r="P477" s="1"/>
      <c r="Q477" s="1"/>
      <c r="R477" s="1"/>
      <c r="S477" s="1"/>
    </row>
    <row r="478" spans="1:19" s="62" customFormat="1" ht="37.5">
      <c r="A478" s="1"/>
      <c r="B478" s="171" t="s">
        <v>604</v>
      </c>
      <c r="C478" s="172"/>
      <c r="D478" s="173"/>
      <c r="E478" s="172"/>
      <c r="F478" s="168"/>
      <c r="G478" s="169"/>
      <c r="H478" s="172"/>
      <c r="I478" s="141"/>
      <c r="J478" s="142"/>
      <c r="K478" s="167" t="s">
        <v>603</v>
      </c>
      <c r="L478" s="62">
        <v>180000</v>
      </c>
      <c r="N478" s="1"/>
      <c r="O478" s="1"/>
      <c r="P478" s="1"/>
      <c r="Q478" s="1"/>
      <c r="R478" s="1"/>
      <c r="S478" s="1"/>
    </row>
    <row r="479" spans="1:19" s="62" customFormat="1" ht="56.25">
      <c r="A479" s="1"/>
      <c r="B479" s="171" t="s">
        <v>617</v>
      </c>
      <c r="C479" s="172"/>
      <c r="D479" s="173"/>
      <c r="E479" s="172"/>
      <c r="F479" s="168"/>
      <c r="G479" s="169"/>
      <c r="H479" s="172"/>
      <c r="I479" s="141"/>
      <c r="J479" s="142"/>
      <c r="K479" s="167" t="s">
        <v>618</v>
      </c>
      <c r="L479" s="62">
        <v>180000</v>
      </c>
      <c r="N479" s="1"/>
      <c r="O479" s="1"/>
      <c r="P479" s="1"/>
      <c r="Q479" s="1"/>
      <c r="R479" s="1"/>
      <c r="S479" s="1"/>
    </row>
    <row r="480" spans="1:19" s="62" customFormat="1">
      <c r="A480" s="1"/>
      <c r="B480" s="171"/>
      <c r="C480" s="172"/>
      <c r="D480" s="173"/>
      <c r="E480" s="172"/>
      <c r="F480" s="168"/>
      <c r="G480" s="169"/>
      <c r="H480" s="172"/>
      <c r="I480" s="141"/>
      <c r="J480" s="142"/>
      <c r="K480" s="170"/>
      <c r="N480" s="1"/>
      <c r="O480" s="1"/>
      <c r="P480" s="1"/>
      <c r="Q480" s="1"/>
      <c r="R480" s="1"/>
      <c r="S480" s="1"/>
    </row>
    <row r="481" spans="1:19" s="62" customFormat="1">
      <c r="A481" s="1"/>
      <c r="B481" s="171"/>
      <c r="C481" s="172"/>
      <c r="D481" s="173"/>
      <c r="E481" s="172"/>
      <c r="F481" s="168"/>
      <c r="G481" s="169"/>
      <c r="H481" s="172"/>
      <c r="I481" s="141"/>
      <c r="J481" s="142"/>
      <c r="K481" s="170"/>
      <c r="N481" s="1"/>
      <c r="O481" s="1"/>
      <c r="P481" s="1"/>
      <c r="Q481" s="1"/>
      <c r="R481" s="1"/>
      <c r="S481" s="1"/>
    </row>
    <row r="482" spans="1:19" s="62" customFormat="1">
      <c r="A482" s="1"/>
      <c r="B482" s="167" t="s">
        <v>22</v>
      </c>
      <c r="C482" s="168"/>
      <c r="D482" s="140"/>
      <c r="E482" s="168"/>
      <c r="F482" s="168"/>
      <c r="G482" s="169"/>
      <c r="H482" s="168"/>
      <c r="I482" s="141"/>
      <c r="J482" s="142"/>
      <c r="K482" s="170"/>
      <c r="N482" s="1"/>
      <c r="O482" s="1"/>
      <c r="P482" s="1"/>
      <c r="Q482" s="1"/>
      <c r="R482" s="1"/>
      <c r="S482" s="1"/>
    </row>
    <row r="483" spans="1:19" s="62" customFormat="1">
      <c r="A483" s="1"/>
      <c r="B483" s="171" t="s">
        <v>21</v>
      </c>
      <c r="C483" s="168"/>
      <c r="D483" s="140"/>
      <c r="E483" s="168"/>
      <c r="F483" s="168"/>
      <c r="G483" s="169"/>
      <c r="H483" s="168"/>
      <c r="I483" s="141"/>
      <c r="J483" s="142"/>
      <c r="K483" s="170"/>
      <c r="N483" s="1"/>
      <c r="O483" s="1"/>
      <c r="P483" s="1"/>
      <c r="Q483" s="1"/>
      <c r="R483" s="1"/>
      <c r="S483" s="1"/>
    </row>
    <row r="484" spans="1:19" s="62" customFormat="1">
      <c r="A484" s="1"/>
      <c r="B484" s="167" t="s">
        <v>20</v>
      </c>
      <c r="C484" s="168"/>
      <c r="D484" s="140"/>
      <c r="E484" s="168"/>
      <c r="F484" s="168"/>
      <c r="G484" s="169"/>
      <c r="H484" s="168"/>
      <c r="I484" s="141"/>
      <c r="J484" s="142"/>
      <c r="K484" s="170"/>
      <c r="N484" s="1"/>
      <c r="O484" s="1"/>
      <c r="P484" s="1"/>
      <c r="Q484" s="1"/>
      <c r="R484" s="1"/>
      <c r="S484" s="1"/>
    </row>
    <row r="485" spans="1:19" s="62" customFormat="1">
      <c r="A485" s="1"/>
      <c r="B485" s="171" t="s">
        <v>17</v>
      </c>
      <c r="C485" s="168"/>
      <c r="D485" s="140"/>
      <c r="E485" s="168"/>
      <c r="F485" s="168"/>
      <c r="G485" s="169"/>
      <c r="H485" s="168"/>
      <c r="I485" s="141"/>
      <c r="J485" s="142"/>
      <c r="K485" s="170"/>
      <c r="N485" s="1"/>
      <c r="O485" s="1"/>
      <c r="P485" s="1"/>
      <c r="Q485" s="1"/>
      <c r="R485" s="1"/>
      <c r="S485" s="1"/>
    </row>
    <row r="486" spans="1:19" s="62" customFormat="1">
      <c r="A486" s="1"/>
      <c r="B486" s="216" t="s">
        <v>44</v>
      </c>
      <c r="C486" s="133"/>
      <c r="D486" s="134"/>
      <c r="E486" s="133">
        <f>+E487+E493</f>
        <v>0.78220000000000001</v>
      </c>
      <c r="F486" s="133"/>
      <c r="G486" s="134"/>
      <c r="H486" s="133">
        <f>SUM(H487:H497)</f>
        <v>2.7017000000000002</v>
      </c>
      <c r="I486" s="135">
        <f t="shared" si="14"/>
        <v>1.9195000000000002</v>
      </c>
      <c r="J486" s="136">
        <f t="shared" si="15"/>
        <v>71.047858755598327</v>
      </c>
      <c r="K486" s="137"/>
      <c r="N486" s="1"/>
      <c r="O486" s="1"/>
      <c r="P486" s="1"/>
      <c r="Q486" s="1"/>
      <c r="R486" s="1"/>
      <c r="S486" s="1"/>
    </row>
    <row r="487" spans="1:19" s="62" customFormat="1" ht="37.5">
      <c r="A487" s="1"/>
      <c r="B487" s="171" t="s">
        <v>90</v>
      </c>
      <c r="C487" s="168"/>
      <c r="D487" s="140"/>
      <c r="E487" s="168">
        <v>0.47799999999999998</v>
      </c>
      <c r="F487" s="168"/>
      <c r="G487" s="169"/>
      <c r="H487" s="168">
        <v>1.228</v>
      </c>
      <c r="I487" s="141">
        <f t="shared" si="14"/>
        <v>0.75</v>
      </c>
      <c r="J487" s="142">
        <f t="shared" si="15"/>
        <v>61.074918566775246</v>
      </c>
      <c r="K487" s="167" t="s">
        <v>587</v>
      </c>
      <c r="L487" s="62">
        <f>+L488+L489</f>
        <v>1228000</v>
      </c>
      <c r="N487" s="1"/>
      <c r="O487" s="1"/>
      <c r="P487" s="1"/>
      <c r="Q487" s="1"/>
      <c r="R487" s="1"/>
      <c r="S487" s="1"/>
    </row>
    <row r="488" spans="1:19" s="62" customFormat="1" ht="37.5">
      <c r="A488" s="1"/>
      <c r="B488" s="171"/>
      <c r="C488" s="168"/>
      <c r="D488" s="140"/>
      <c r="E488" s="168"/>
      <c r="F488" s="168"/>
      <c r="G488" s="169"/>
      <c r="H488" s="168"/>
      <c r="I488" s="141"/>
      <c r="J488" s="142"/>
      <c r="K488" s="167" t="s">
        <v>588</v>
      </c>
      <c r="L488" s="62">
        <f>428000+300000</f>
        <v>728000</v>
      </c>
      <c r="N488" s="1"/>
      <c r="O488" s="1"/>
      <c r="P488" s="1"/>
      <c r="Q488" s="1"/>
      <c r="R488" s="1"/>
      <c r="S488" s="1"/>
    </row>
    <row r="489" spans="1:19" s="62" customFormat="1">
      <c r="A489" s="1"/>
      <c r="B489" s="171"/>
      <c r="C489" s="168"/>
      <c r="D489" s="140"/>
      <c r="E489" s="168"/>
      <c r="F489" s="168"/>
      <c r="G489" s="169"/>
      <c r="H489" s="168"/>
      <c r="I489" s="141"/>
      <c r="J489" s="142"/>
      <c r="K489" s="167" t="s">
        <v>623</v>
      </c>
      <c r="L489" s="62">
        <v>500000</v>
      </c>
      <c r="N489" s="1"/>
      <c r="O489" s="1"/>
      <c r="P489" s="1"/>
      <c r="Q489" s="1"/>
      <c r="R489" s="1"/>
      <c r="S489" s="1"/>
    </row>
    <row r="490" spans="1:19" s="62" customFormat="1">
      <c r="A490" s="1"/>
      <c r="B490" s="171"/>
      <c r="C490" s="168"/>
      <c r="D490" s="140"/>
      <c r="E490" s="168"/>
      <c r="F490" s="168"/>
      <c r="G490" s="169"/>
      <c r="H490" s="168"/>
      <c r="I490" s="141"/>
      <c r="J490" s="142"/>
      <c r="K490" s="167"/>
      <c r="N490" s="1"/>
      <c r="O490" s="1"/>
      <c r="P490" s="1"/>
      <c r="Q490" s="1"/>
      <c r="R490" s="1"/>
      <c r="S490" s="1"/>
    </row>
    <row r="491" spans="1:19" s="62" customFormat="1">
      <c r="A491" s="1"/>
      <c r="B491" s="171"/>
      <c r="C491" s="168"/>
      <c r="D491" s="140"/>
      <c r="E491" s="168"/>
      <c r="F491" s="168"/>
      <c r="G491" s="169"/>
      <c r="H491" s="168"/>
      <c r="I491" s="141"/>
      <c r="J491" s="142"/>
      <c r="K491" s="170"/>
      <c r="N491" s="1"/>
      <c r="O491" s="1"/>
      <c r="P491" s="1"/>
      <c r="Q491" s="1"/>
      <c r="R491" s="1"/>
      <c r="S491" s="1"/>
    </row>
    <row r="492" spans="1:19" s="62" customFormat="1">
      <c r="A492" s="1"/>
      <c r="B492" s="171"/>
      <c r="C492" s="168"/>
      <c r="D492" s="140"/>
      <c r="E492" s="168"/>
      <c r="F492" s="168"/>
      <c r="G492" s="169"/>
      <c r="H492" s="168"/>
      <c r="I492" s="141"/>
      <c r="J492" s="142"/>
      <c r="K492" s="170"/>
      <c r="N492" s="1"/>
      <c r="O492" s="1"/>
      <c r="P492" s="1"/>
      <c r="Q492" s="1"/>
      <c r="R492" s="1"/>
      <c r="S492" s="1"/>
    </row>
    <row r="493" spans="1:19" s="62" customFormat="1" ht="56.25">
      <c r="A493" s="1"/>
      <c r="B493" s="171" t="s">
        <v>91</v>
      </c>
      <c r="C493" s="168"/>
      <c r="D493" s="140"/>
      <c r="E493" s="168">
        <v>0.30420000000000003</v>
      </c>
      <c r="F493" s="168"/>
      <c r="G493" s="169"/>
      <c r="H493" s="168">
        <v>1.4537</v>
      </c>
      <c r="I493" s="141">
        <f t="shared" ref="I493:I546" si="16">+H493-E493</f>
        <v>1.1495</v>
      </c>
      <c r="J493" s="142">
        <f t="shared" ref="J493:J546" si="17">+I493*100/H493</f>
        <v>79.074086812960033</v>
      </c>
      <c r="K493" s="167" t="s">
        <v>592</v>
      </c>
      <c r="L493" s="62">
        <f>+L494+L495+L496</f>
        <v>1453700</v>
      </c>
      <c r="N493" s="1"/>
      <c r="O493" s="1"/>
      <c r="P493" s="1"/>
      <c r="Q493" s="1"/>
      <c r="R493" s="1"/>
      <c r="S493" s="1"/>
    </row>
    <row r="494" spans="1:19" s="62" customFormat="1">
      <c r="A494" s="1"/>
      <c r="B494" s="171"/>
      <c r="C494" s="168"/>
      <c r="D494" s="140"/>
      <c r="E494" s="168"/>
      <c r="F494" s="168"/>
      <c r="G494" s="169"/>
      <c r="H494" s="168"/>
      <c r="I494" s="141"/>
      <c r="J494" s="142"/>
      <c r="K494" s="170" t="s">
        <v>591</v>
      </c>
      <c r="L494" s="62">
        <v>1062000</v>
      </c>
      <c r="N494" s="1"/>
      <c r="O494" s="1"/>
      <c r="P494" s="1"/>
      <c r="Q494" s="1"/>
      <c r="R494" s="1"/>
      <c r="S494" s="1"/>
    </row>
    <row r="495" spans="1:19" s="62" customFormat="1">
      <c r="A495" s="1"/>
      <c r="B495" s="171"/>
      <c r="C495" s="168"/>
      <c r="D495" s="140"/>
      <c r="E495" s="168"/>
      <c r="F495" s="168"/>
      <c r="G495" s="169"/>
      <c r="H495" s="168"/>
      <c r="I495" s="141"/>
      <c r="J495" s="142"/>
      <c r="K495" s="170" t="s">
        <v>605</v>
      </c>
      <c r="L495" s="62">
        <v>371700</v>
      </c>
      <c r="N495" s="1"/>
      <c r="O495" s="1"/>
      <c r="P495" s="1"/>
      <c r="Q495" s="1"/>
      <c r="R495" s="1"/>
      <c r="S495" s="1"/>
    </row>
    <row r="496" spans="1:19" s="62" customFormat="1" ht="37.5">
      <c r="A496" s="1"/>
      <c r="B496" s="171" t="s">
        <v>589</v>
      </c>
      <c r="C496" s="168"/>
      <c r="D496" s="140"/>
      <c r="E496" s="168"/>
      <c r="F496" s="168"/>
      <c r="G496" s="169"/>
      <c r="H496" s="168">
        <v>0.02</v>
      </c>
      <c r="I496" s="141">
        <f t="shared" si="16"/>
        <v>0.02</v>
      </c>
      <c r="J496" s="142">
        <f t="shared" si="17"/>
        <v>100</v>
      </c>
      <c r="K496" s="167" t="s">
        <v>590</v>
      </c>
      <c r="L496" s="62">
        <v>20000</v>
      </c>
      <c r="N496" s="1"/>
      <c r="O496" s="1"/>
      <c r="P496" s="1"/>
      <c r="Q496" s="1"/>
      <c r="R496" s="1"/>
      <c r="S496" s="1"/>
    </row>
    <row r="497" spans="1:19" s="62" customFormat="1">
      <c r="A497" s="1"/>
      <c r="B497" s="171"/>
      <c r="C497" s="168"/>
      <c r="D497" s="140"/>
      <c r="E497" s="168"/>
      <c r="F497" s="168"/>
      <c r="G497" s="169"/>
      <c r="H497" s="168"/>
      <c r="I497" s="141"/>
      <c r="J497" s="142"/>
      <c r="K497" s="170"/>
      <c r="N497" s="1"/>
      <c r="O497" s="1"/>
      <c r="P497" s="1"/>
      <c r="Q497" s="1"/>
      <c r="R497" s="1"/>
      <c r="S497" s="1"/>
    </row>
    <row r="498" spans="1:19" s="62" customFormat="1">
      <c r="A498" s="1"/>
      <c r="B498" s="179" t="s">
        <v>45</v>
      </c>
      <c r="C498" s="180"/>
      <c r="D498" s="181"/>
      <c r="E498" s="180">
        <f>+E499</f>
        <v>0.63080000000000003</v>
      </c>
      <c r="F498" s="180"/>
      <c r="G498" s="181"/>
      <c r="H498" s="180">
        <f>+H499</f>
        <v>0.68400000000000005</v>
      </c>
      <c r="I498" s="182">
        <f t="shared" si="16"/>
        <v>5.3200000000000025E-2</v>
      </c>
      <c r="J498" s="183">
        <f t="shared" si="17"/>
        <v>7.7777777777777803</v>
      </c>
      <c r="K498" s="184"/>
      <c r="N498" s="1"/>
      <c r="O498" s="1"/>
      <c r="P498" s="1"/>
      <c r="Q498" s="1"/>
      <c r="R498" s="1"/>
      <c r="S498" s="1"/>
    </row>
    <row r="499" spans="1:19" s="62" customFormat="1" ht="37.5">
      <c r="A499" s="1"/>
      <c r="B499" s="171" t="s">
        <v>92</v>
      </c>
      <c r="C499" s="168"/>
      <c r="D499" s="140"/>
      <c r="E499" s="168">
        <v>0.63080000000000003</v>
      </c>
      <c r="F499" s="168"/>
      <c r="G499" s="169"/>
      <c r="H499" s="168">
        <v>0.68400000000000005</v>
      </c>
      <c r="I499" s="141">
        <f t="shared" si="16"/>
        <v>5.3200000000000025E-2</v>
      </c>
      <c r="J499" s="142">
        <f t="shared" si="17"/>
        <v>7.7777777777777803</v>
      </c>
      <c r="K499" s="167" t="s">
        <v>606</v>
      </c>
      <c r="N499" s="1"/>
      <c r="O499" s="1"/>
      <c r="P499" s="1"/>
      <c r="Q499" s="1"/>
      <c r="R499" s="1"/>
      <c r="S499" s="1"/>
    </row>
    <row r="500" spans="1:19" s="62" customFormat="1">
      <c r="A500" s="1"/>
      <c r="B500" s="171"/>
      <c r="C500" s="168"/>
      <c r="D500" s="140"/>
      <c r="E500" s="168"/>
      <c r="F500" s="168"/>
      <c r="G500" s="169"/>
      <c r="H500" s="168"/>
      <c r="I500" s="141"/>
      <c r="J500" s="142"/>
      <c r="K500" s="170"/>
      <c r="N500" s="1"/>
      <c r="O500" s="1"/>
      <c r="P500" s="1"/>
      <c r="Q500" s="1"/>
      <c r="R500" s="1"/>
      <c r="S500" s="1"/>
    </row>
    <row r="501" spans="1:19" s="62" customFormat="1">
      <c r="A501" s="1"/>
      <c r="B501" s="221" t="s">
        <v>46</v>
      </c>
      <c r="C501" s="222"/>
      <c r="D501" s="223"/>
      <c r="E501" s="222"/>
      <c r="F501" s="222"/>
      <c r="G501" s="223"/>
      <c r="H501" s="222"/>
      <c r="I501" s="222"/>
      <c r="J501" s="222"/>
      <c r="K501" s="226"/>
      <c r="N501" s="1"/>
      <c r="O501" s="1"/>
      <c r="P501" s="1"/>
      <c r="Q501" s="1"/>
      <c r="R501" s="1"/>
      <c r="S501" s="1"/>
    </row>
    <row r="502" spans="1:19" s="62" customFormat="1">
      <c r="A502" s="1"/>
      <c r="B502" s="167" t="s">
        <v>47</v>
      </c>
      <c r="C502" s="168"/>
      <c r="D502" s="140"/>
      <c r="E502" s="168"/>
      <c r="F502" s="168"/>
      <c r="G502" s="169"/>
      <c r="H502" s="168"/>
      <c r="I502" s="141"/>
      <c r="J502" s="142"/>
      <c r="K502" s="170"/>
      <c r="N502" s="1"/>
      <c r="O502" s="1"/>
      <c r="P502" s="1"/>
      <c r="Q502" s="1"/>
      <c r="R502" s="1"/>
      <c r="S502" s="1"/>
    </row>
    <row r="503" spans="1:19" s="62" customFormat="1">
      <c r="A503" s="1"/>
      <c r="B503" s="167" t="s">
        <v>19</v>
      </c>
      <c r="C503" s="168"/>
      <c r="D503" s="140"/>
      <c r="E503" s="168"/>
      <c r="F503" s="168"/>
      <c r="G503" s="169"/>
      <c r="H503" s="168"/>
      <c r="I503" s="141"/>
      <c r="J503" s="142"/>
      <c r="K503" s="170"/>
      <c r="N503" s="1"/>
      <c r="O503" s="1"/>
      <c r="P503" s="1"/>
      <c r="Q503" s="1"/>
      <c r="R503" s="1"/>
      <c r="S503" s="1"/>
    </row>
    <row r="504" spans="1:19" s="62" customFormat="1">
      <c r="A504" s="1"/>
      <c r="B504" s="167" t="s">
        <v>48</v>
      </c>
      <c r="C504" s="168"/>
      <c r="D504" s="140"/>
      <c r="E504" s="168"/>
      <c r="F504" s="168"/>
      <c r="G504" s="169"/>
      <c r="H504" s="168"/>
      <c r="I504" s="141"/>
      <c r="J504" s="142"/>
      <c r="K504" s="170"/>
      <c r="N504" s="1"/>
      <c r="O504" s="1"/>
      <c r="P504" s="1"/>
      <c r="Q504" s="1"/>
      <c r="R504" s="1"/>
      <c r="S504" s="1"/>
    </row>
    <row r="505" spans="1:19" s="62" customFormat="1">
      <c r="A505" s="1"/>
      <c r="B505" s="171" t="s">
        <v>17</v>
      </c>
      <c r="C505" s="168"/>
      <c r="D505" s="140"/>
      <c r="E505" s="168"/>
      <c r="F505" s="168"/>
      <c r="G505" s="169"/>
      <c r="H505" s="168"/>
      <c r="I505" s="141"/>
      <c r="J505" s="142"/>
      <c r="K505" s="170"/>
      <c r="N505" s="1"/>
      <c r="O505" s="1"/>
      <c r="P505" s="1"/>
      <c r="Q505" s="1"/>
      <c r="R505" s="1"/>
      <c r="S505" s="1"/>
    </row>
    <row r="506" spans="1:19" s="62" customFormat="1">
      <c r="A506" s="1"/>
      <c r="B506" s="171" t="s">
        <v>18</v>
      </c>
      <c r="C506" s="168"/>
      <c r="D506" s="140"/>
      <c r="E506" s="168"/>
      <c r="F506" s="168"/>
      <c r="G506" s="169"/>
      <c r="H506" s="168"/>
      <c r="I506" s="141"/>
      <c r="J506" s="142"/>
      <c r="K506" s="170"/>
      <c r="N506" s="1"/>
      <c r="O506" s="1"/>
      <c r="P506" s="1"/>
      <c r="Q506" s="1"/>
      <c r="R506" s="1"/>
      <c r="S506" s="1"/>
    </row>
    <row r="507" spans="1:19" s="62" customFormat="1">
      <c r="A507" s="1"/>
      <c r="B507" s="167" t="s">
        <v>22</v>
      </c>
      <c r="C507" s="168"/>
      <c r="D507" s="140"/>
      <c r="E507" s="168"/>
      <c r="F507" s="168"/>
      <c r="G507" s="169"/>
      <c r="H507" s="168"/>
      <c r="I507" s="141"/>
      <c r="J507" s="142"/>
      <c r="K507" s="170"/>
      <c r="N507" s="1"/>
      <c r="O507" s="1"/>
      <c r="P507" s="1"/>
      <c r="Q507" s="1"/>
      <c r="R507" s="1"/>
      <c r="S507" s="1"/>
    </row>
    <row r="508" spans="1:19" s="62" customFormat="1">
      <c r="A508" s="1"/>
      <c r="B508" s="167" t="s">
        <v>48</v>
      </c>
      <c r="C508" s="168"/>
      <c r="D508" s="140"/>
      <c r="E508" s="168"/>
      <c r="F508" s="168"/>
      <c r="G508" s="169"/>
      <c r="H508" s="168"/>
      <c r="I508" s="141"/>
      <c r="J508" s="142"/>
      <c r="K508" s="170"/>
      <c r="N508" s="1"/>
      <c r="O508" s="1"/>
      <c r="P508" s="1"/>
      <c r="Q508" s="1"/>
      <c r="R508" s="1"/>
      <c r="S508" s="1"/>
    </row>
    <row r="509" spans="1:19" s="62" customFormat="1">
      <c r="A509" s="1"/>
      <c r="B509" s="171" t="s">
        <v>23</v>
      </c>
      <c r="C509" s="168"/>
      <c r="D509" s="140"/>
      <c r="E509" s="168"/>
      <c r="F509" s="168"/>
      <c r="G509" s="169"/>
      <c r="H509" s="168"/>
      <c r="I509" s="141"/>
      <c r="J509" s="142"/>
      <c r="K509" s="170"/>
      <c r="N509" s="1"/>
      <c r="O509" s="1"/>
      <c r="P509" s="1"/>
      <c r="Q509" s="1"/>
      <c r="R509" s="1"/>
      <c r="S509" s="1"/>
    </row>
    <row r="510" spans="1:19" s="62" customFormat="1">
      <c r="A510" s="1"/>
      <c r="B510" s="167" t="s">
        <v>20</v>
      </c>
      <c r="C510" s="168"/>
      <c r="D510" s="140"/>
      <c r="E510" s="168"/>
      <c r="F510" s="168"/>
      <c r="G510" s="169"/>
      <c r="H510" s="168"/>
      <c r="I510" s="141"/>
      <c r="J510" s="142"/>
      <c r="K510" s="170"/>
      <c r="N510" s="1"/>
      <c r="O510" s="1"/>
      <c r="P510" s="1"/>
      <c r="Q510" s="1"/>
      <c r="R510" s="1"/>
      <c r="S510" s="1"/>
    </row>
    <row r="511" spans="1:19" s="62" customFormat="1">
      <c r="A511" s="1"/>
      <c r="B511" s="167" t="s">
        <v>48</v>
      </c>
      <c r="C511" s="168"/>
      <c r="D511" s="140"/>
      <c r="E511" s="168"/>
      <c r="F511" s="168"/>
      <c r="G511" s="169"/>
      <c r="H511" s="168"/>
      <c r="I511" s="141"/>
      <c r="J511" s="142"/>
      <c r="K511" s="170"/>
      <c r="N511" s="1"/>
      <c r="O511" s="1"/>
      <c r="P511" s="1"/>
      <c r="Q511" s="1"/>
      <c r="R511" s="1"/>
      <c r="S511" s="1"/>
    </row>
    <row r="512" spans="1:19" s="62" customFormat="1">
      <c r="A512" s="1"/>
      <c r="B512" s="171" t="s">
        <v>23</v>
      </c>
      <c r="C512" s="168"/>
      <c r="D512" s="140"/>
      <c r="E512" s="168"/>
      <c r="F512" s="168"/>
      <c r="G512" s="169"/>
      <c r="H512" s="168"/>
      <c r="I512" s="141"/>
      <c r="J512" s="142"/>
      <c r="K512" s="170"/>
      <c r="N512" s="1"/>
      <c r="O512" s="1"/>
      <c r="P512" s="1"/>
      <c r="Q512" s="1"/>
      <c r="R512" s="1"/>
      <c r="S512" s="1"/>
    </row>
    <row r="513" spans="1:19" s="62" customFormat="1">
      <c r="A513" s="1"/>
      <c r="B513" s="167" t="s">
        <v>49</v>
      </c>
      <c r="C513" s="168"/>
      <c r="D513" s="140"/>
      <c r="E513" s="168"/>
      <c r="F513" s="168"/>
      <c r="G513" s="169"/>
      <c r="H513" s="168"/>
      <c r="I513" s="141"/>
      <c r="J513" s="142"/>
      <c r="K513" s="170"/>
      <c r="N513" s="1"/>
      <c r="O513" s="1"/>
      <c r="P513" s="1"/>
      <c r="Q513" s="1"/>
      <c r="R513" s="1"/>
      <c r="S513" s="1"/>
    </row>
    <row r="514" spans="1:19" s="62" customFormat="1">
      <c r="A514" s="1"/>
      <c r="B514" s="167" t="s">
        <v>19</v>
      </c>
      <c r="C514" s="168"/>
      <c r="D514" s="140"/>
      <c r="E514" s="168"/>
      <c r="F514" s="168"/>
      <c r="G514" s="169"/>
      <c r="H514" s="168"/>
      <c r="I514" s="141"/>
      <c r="J514" s="142"/>
      <c r="K514" s="170"/>
      <c r="N514" s="1"/>
      <c r="O514" s="1"/>
      <c r="P514" s="1"/>
      <c r="Q514" s="1"/>
      <c r="R514" s="1"/>
      <c r="S514" s="1"/>
    </row>
    <row r="515" spans="1:19" s="62" customFormat="1">
      <c r="A515" s="1"/>
      <c r="B515" s="167" t="s">
        <v>50</v>
      </c>
      <c r="C515" s="168"/>
      <c r="D515" s="140"/>
      <c r="E515" s="168"/>
      <c r="F515" s="168"/>
      <c r="G515" s="169"/>
      <c r="H515" s="168"/>
      <c r="I515" s="141"/>
      <c r="J515" s="142"/>
      <c r="K515" s="170"/>
      <c r="N515" s="1"/>
      <c r="O515" s="1"/>
      <c r="P515" s="1"/>
      <c r="Q515" s="1"/>
      <c r="R515" s="1"/>
      <c r="S515" s="1"/>
    </row>
    <row r="516" spans="1:19" s="62" customFormat="1">
      <c r="A516" s="1"/>
      <c r="B516" s="171" t="s">
        <v>17</v>
      </c>
      <c r="C516" s="168"/>
      <c r="D516" s="140"/>
      <c r="E516" s="168"/>
      <c r="F516" s="168"/>
      <c r="G516" s="169"/>
      <c r="H516" s="168"/>
      <c r="I516" s="141"/>
      <c r="J516" s="142"/>
      <c r="K516" s="170"/>
      <c r="N516" s="1"/>
      <c r="O516" s="1"/>
      <c r="P516" s="1"/>
      <c r="Q516" s="1"/>
      <c r="R516" s="1"/>
      <c r="S516" s="1"/>
    </row>
    <row r="517" spans="1:19" s="62" customFormat="1">
      <c r="A517" s="1"/>
      <c r="B517" s="171" t="s">
        <v>18</v>
      </c>
      <c r="C517" s="168"/>
      <c r="D517" s="140"/>
      <c r="E517" s="168"/>
      <c r="F517" s="168"/>
      <c r="G517" s="169"/>
      <c r="H517" s="168"/>
      <c r="I517" s="141"/>
      <c r="J517" s="142"/>
      <c r="K517" s="170"/>
      <c r="N517" s="1"/>
      <c r="O517" s="1"/>
      <c r="P517" s="1"/>
      <c r="Q517" s="1"/>
      <c r="R517" s="1"/>
      <c r="S517" s="1"/>
    </row>
    <row r="518" spans="1:19" s="62" customFormat="1">
      <c r="A518" s="1"/>
      <c r="B518" s="167" t="s">
        <v>22</v>
      </c>
      <c r="C518" s="168"/>
      <c r="D518" s="140"/>
      <c r="E518" s="168"/>
      <c r="F518" s="168"/>
      <c r="G518" s="169"/>
      <c r="H518" s="168"/>
      <c r="I518" s="141"/>
      <c r="J518" s="142"/>
      <c r="K518" s="170"/>
      <c r="N518" s="1"/>
      <c r="O518" s="1"/>
      <c r="P518" s="1"/>
      <c r="Q518" s="1"/>
      <c r="R518" s="1"/>
      <c r="S518" s="1"/>
    </row>
    <row r="519" spans="1:19" s="62" customFormat="1">
      <c r="A519" s="1"/>
      <c r="B519" s="167" t="s">
        <v>51</v>
      </c>
      <c r="C519" s="168"/>
      <c r="D519" s="140"/>
      <c r="E519" s="168"/>
      <c r="F519" s="168"/>
      <c r="G519" s="169"/>
      <c r="H519" s="168"/>
      <c r="I519" s="141"/>
      <c r="J519" s="142"/>
      <c r="K519" s="170"/>
      <c r="N519" s="1"/>
      <c r="O519" s="1"/>
      <c r="P519" s="1"/>
      <c r="Q519" s="1"/>
      <c r="R519" s="1"/>
      <c r="S519" s="1"/>
    </row>
    <row r="520" spans="1:19" s="62" customFormat="1">
      <c r="A520" s="1"/>
      <c r="B520" s="171" t="s">
        <v>23</v>
      </c>
      <c r="C520" s="168"/>
      <c r="D520" s="140"/>
      <c r="E520" s="168"/>
      <c r="F520" s="168"/>
      <c r="G520" s="169"/>
      <c r="H520" s="168"/>
      <c r="I520" s="141"/>
      <c r="J520" s="142"/>
      <c r="K520" s="170"/>
      <c r="N520" s="1"/>
      <c r="O520" s="1"/>
      <c r="P520" s="1"/>
      <c r="Q520" s="1"/>
      <c r="R520" s="1"/>
      <c r="S520" s="1"/>
    </row>
    <row r="521" spans="1:19" s="62" customFormat="1">
      <c r="A521" s="1"/>
      <c r="B521" s="167" t="s">
        <v>20</v>
      </c>
      <c r="C521" s="168"/>
      <c r="D521" s="140"/>
      <c r="E521" s="168"/>
      <c r="F521" s="168"/>
      <c r="G521" s="169"/>
      <c r="H521" s="168"/>
      <c r="I521" s="141"/>
      <c r="J521" s="142"/>
      <c r="K521" s="170"/>
      <c r="N521" s="1"/>
      <c r="O521" s="1"/>
      <c r="P521" s="1"/>
      <c r="Q521" s="1"/>
      <c r="R521" s="1"/>
      <c r="S521" s="1"/>
    </row>
    <row r="522" spans="1:19" s="62" customFormat="1">
      <c r="A522" s="1"/>
      <c r="B522" s="167" t="s">
        <v>51</v>
      </c>
      <c r="C522" s="168"/>
      <c r="D522" s="140"/>
      <c r="E522" s="168"/>
      <c r="F522" s="168"/>
      <c r="G522" s="169"/>
      <c r="H522" s="168"/>
      <c r="I522" s="141"/>
      <c r="J522" s="142"/>
      <c r="K522" s="170"/>
      <c r="N522" s="1"/>
      <c r="O522" s="1"/>
      <c r="P522" s="1"/>
      <c r="Q522" s="1"/>
      <c r="R522" s="1"/>
      <c r="S522" s="1"/>
    </row>
    <row r="523" spans="1:19" s="62" customFormat="1">
      <c r="A523" s="1"/>
      <c r="B523" s="171" t="s">
        <v>23</v>
      </c>
      <c r="C523" s="168"/>
      <c r="D523" s="140"/>
      <c r="E523" s="168"/>
      <c r="F523" s="168"/>
      <c r="G523" s="169"/>
      <c r="H523" s="168"/>
      <c r="I523" s="141"/>
      <c r="J523" s="142"/>
      <c r="K523" s="170"/>
      <c r="N523" s="1"/>
      <c r="O523" s="1"/>
      <c r="P523" s="1"/>
      <c r="Q523" s="1"/>
      <c r="R523" s="1"/>
      <c r="S523" s="1"/>
    </row>
    <row r="524" spans="1:19" s="62" customFormat="1">
      <c r="A524" s="1"/>
      <c r="B524" s="216" t="s">
        <v>53</v>
      </c>
      <c r="C524" s="133"/>
      <c r="D524" s="134"/>
      <c r="E524" s="133"/>
      <c r="F524" s="133"/>
      <c r="G524" s="134"/>
      <c r="H524" s="133"/>
      <c r="I524" s="133"/>
      <c r="J524" s="133"/>
      <c r="K524" s="137"/>
      <c r="N524" s="1"/>
      <c r="O524" s="1"/>
      <c r="P524" s="1"/>
      <c r="Q524" s="1"/>
      <c r="R524" s="1"/>
      <c r="S524" s="1"/>
    </row>
    <row r="525" spans="1:19" s="62" customFormat="1">
      <c r="A525" s="1"/>
      <c r="B525" s="167" t="s">
        <v>52</v>
      </c>
      <c r="C525" s="168"/>
      <c r="D525" s="140"/>
      <c r="E525" s="168"/>
      <c r="F525" s="168"/>
      <c r="G525" s="169"/>
      <c r="H525" s="168"/>
      <c r="I525" s="168"/>
      <c r="J525" s="168"/>
      <c r="K525" s="170"/>
      <c r="N525" s="1"/>
      <c r="O525" s="1"/>
      <c r="P525" s="1"/>
      <c r="Q525" s="1"/>
      <c r="R525" s="1"/>
      <c r="S525" s="1"/>
    </row>
    <row r="526" spans="1:19" ht="37.5">
      <c r="B526" s="167" t="s">
        <v>54</v>
      </c>
      <c r="C526" s="168"/>
      <c r="D526" s="140"/>
      <c r="E526" s="168"/>
      <c r="F526" s="168"/>
      <c r="G526" s="169"/>
      <c r="H526" s="168"/>
      <c r="I526" s="168"/>
      <c r="J526" s="168"/>
      <c r="K526" s="170"/>
    </row>
    <row r="527" spans="1:19">
      <c r="B527" s="167" t="s">
        <v>55</v>
      </c>
      <c r="C527" s="168"/>
      <c r="D527" s="140"/>
      <c r="E527" s="168"/>
      <c r="F527" s="168"/>
      <c r="G527" s="169"/>
      <c r="H527" s="168"/>
      <c r="I527" s="168"/>
      <c r="J527" s="168"/>
      <c r="K527" s="170"/>
    </row>
    <row r="528" spans="1:19" ht="37.5">
      <c r="B528" s="167" t="s">
        <v>54</v>
      </c>
      <c r="C528" s="168"/>
      <c r="D528" s="140"/>
      <c r="E528" s="168"/>
      <c r="F528" s="168"/>
      <c r="G528" s="169"/>
      <c r="H528" s="168"/>
      <c r="I528" s="168"/>
      <c r="J528" s="168"/>
      <c r="K528" s="170"/>
    </row>
    <row r="529" spans="1:14">
      <c r="B529" s="185" t="s">
        <v>56</v>
      </c>
      <c r="C529" s="145"/>
      <c r="D529" s="146"/>
      <c r="E529" s="145">
        <f>+E530</f>
        <v>1</v>
      </c>
      <c r="F529" s="145"/>
      <c r="G529" s="146"/>
      <c r="H529" s="145">
        <f>+H530</f>
        <v>4.75</v>
      </c>
      <c r="I529" s="147">
        <f t="shared" si="16"/>
        <v>3.75</v>
      </c>
      <c r="J529" s="148">
        <f t="shared" si="17"/>
        <v>78.94736842105263</v>
      </c>
      <c r="K529" s="149"/>
    </row>
    <row r="530" spans="1:14" ht="75">
      <c r="B530" s="167" t="s">
        <v>93</v>
      </c>
      <c r="C530" s="168"/>
      <c r="D530" s="140"/>
      <c r="E530" s="168">
        <v>1</v>
      </c>
      <c r="F530" s="168"/>
      <c r="G530" s="169"/>
      <c r="H530" s="168">
        <v>4.75</v>
      </c>
      <c r="I530" s="141">
        <f t="shared" si="16"/>
        <v>3.75</v>
      </c>
      <c r="J530" s="142">
        <f t="shared" si="17"/>
        <v>78.94736842105263</v>
      </c>
      <c r="K530" s="167" t="s">
        <v>621</v>
      </c>
    </row>
    <row r="531" spans="1:14" s="385" customFormat="1" ht="27.75" customHeight="1">
      <c r="A531" s="395"/>
      <c r="B531" s="396" t="s">
        <v>129</v>
      </c>
      <c r="C531" s="397"/>
      <c r="D531" s="398"/>
      <c r="E531" s="397">
        <f>+E533+E644+E667+E672</f>
        <v>602.11789999999996</v>
      </c>
      <c r="F531" s="397"/>
      <c r="G531" s="398"/>
      <c r="H531" s="397">
        <f>+H533+H644+H667+H672</f>
        <v>926.56790000000012</v>
      </c>
      <c r="I531" s="399">
        <f t="shared" si="16"/>
        <v>324.45000000000016</v>
      </c>
      <c r="J531" s="400">
        <f t="shared" si="17"/>
        <v>35.016322063391158</v>
      </c>
      <c r="K531" s="401"/>
      <c r="L531" s="81"/>
      <c r="M531" s="81"/>
    </row>
    <row r="532" spans="1:14" ht="27.75" customHeight="1">
      <c r="B532" s="215" t="s">
        <v>94</v>
      </c>
      <c r="C532" s="168"/>
      <c r="D532" s="169"/>
      <c r="E532" s="172"/>
      <c r="F532" s="172"/>
      <c r="G532" s="235"/>
      <c r="H532" s="172"/>
      <c r="I532" s="143"/>
      <c r="J532" s="143"/>
      <c r="K532" s="143"/>
    </row>
    <row r="533" spans="1:14">
      <c r="B533" s="177" t="s">
        <v>38</v>
      </c>
      <c r="C533" s="121"/>
      <c r="D533" s="122"/>
      <c r="E533" s="121">
        <f>+E534+E638</f>
        <v>358.60629999999998</v>
      </c>
      <c r="F533" s="121"/>
      <c r="G533" s="122"/>
      <c r="H533" s="121">
        <f>+H534+H638</f>
        <v>406.51950000000005</v>
      </c>
      <c r="I533" s="123">
        <f t="shared" si="16"/>
        <v>47.913200000000074</v>
      </c>
      <c r="J533" s="124">
        <f t="shared" si="17"/>
        <v>11.786199677998242</v>
      </c>
      <c r="K533" s="125"/>
    </row>
    <row r="534" spans="1:14">
      <c r="B534" s="179" t="s">
        <v>41</v>
      </c>
      <c r="C534" s="180"/>
      <c r="D534" s="181"/>
      <c r="E534" s="180">
        <f>+E535+E553+E594</f>
        <v>342.45069999999998</v>
      </c>
      <c r="F534" s="180"/>
      <c r="G534" s="181"/>
      <c r="H534" s="180">
        <f>+H535+H553+H594</f>
        <v>371.21310000000005</v>
      </c>
      <c r="I534" s="182">
        <f t="shared" si="16"/>
        <v>28.762400000000071</v>
      </c>
      <c r="J534" s="183">
        <f t="shared" si="17"/>
        <v>7.7482179373519058</v>
      </c>
      <c r="K534" s="184"/>
    </row>
    <row r="535" spans="1:14">
      <c r="B535" s="216" t="s">
        <v>42</v>
      </c>
      <c r="C535" s="133"/>
      <c r="D535" s="134"/>
      <c r="E535" s="133">
        <f>SUM(E536:E546)</f>
        <v>2.5139</v>
      </c>
      <c r="F535" s="133"/>
      <c r="G535" s="134"/>
      <c r="H535" s="133">
        <f>SUM(H536:H546)</f>
        <v>7.5184999999999995</v>
      </c>
      <c r="I535" s="135">
        <f t="shared" si="16"/>
        <v>5.0045999999999999</v>
      </c>
      <c r="J535" s="136">
        <f t="shared" si="17"/>
        <v>66.56380927046618</v>
      </c>
      <c r="K535" s="137"/>
    </row>
    <row r="536" spans="1:14" ht="37.5">
      <c r="B536" s="171" t="s">
        <v>112</v>
      </c>
      <c r="C536" s="168"/>
      <c r="D536" s="140"/>
      <c r="E536" s="168">
        <v>0.17280000000000001</v>
      </c>
      <c r="F536" s="168"/>
      <c r="G536" s="169"/>
      <c r="H536" s="168">
        <f>2.7312+0.168</f>
        <v>2.8992</v>
      </c>
      <c r="I536" s="141">
        <f t="shared" si="16"/>
        <v>2.7263999999999999</v>
      </c>
      <c r="J536" s="142">
        <f t="shared" si="17"/>
        <v>94.039735099337747</v>
      </c>
      <c r="K536" s="167" t="s">
        <v>718</v>
      </c>
      <c r="L536" s="62">
        <f>+L537+L538</f>
        <v>2731200</v>
      </c>
    </row>
    <row r="537" spans="1:14">
      <c r="B537" s="171"/>
      <c r="C537" s="168"/>
      <c r="D537" s="140"/>
      <c r="E537" s="168"/>
      <c r="F537" s="168"/>
      <c r="G537" s="169"/>
      <c r="H537" s="168"/>
      <c r="I537" s="141"/>
      <c r="J537" s="142"/>
      <c r="K537" s="170" t="s">
        <v>719</v>
      </c>
      <c r="L537" s="62">
        <v>259200</v>
      </c>
    </row>
    <row r="538" spans="1:14">
      <c r="B538" s="171"/>
      <c r="C538" s="168"/>
      <c r="D538" s="140"/>
      <c r="E538" s="168"/>
      <c r="F538" s="168"/>
      <c r="G538" s="169"/>
      <c r="H538" s="168"/>
      <c r="I538" s="141"/>
      <c r="J538" s="142"/>
      <c r="K538" s="170" t="s">
        <v>725</v>
      </c>
      <c r="L538" s="62">
        <v>2472000</v>
      </c>
    </row>
    <row r="539" spans="1:14">
      <c r="B539" s="171"/>
      <c r="C539" s="168"/>
      <c r="D539" s="140"/>
      <c r="E539" s="168"/>
      <c r="F539" s="168"/>
      <c r="G539" s="169"/>
      <c r="H539" s="168"/>
      <c r="I539" s="141"/>
      <c r="J539" s="142"/>
      <c r="K539" s="170"/>
    </row>
    <row r="540" spans="1:14" ht="37.5">
      <c r="B540" s="171" t="s">
        <v>130</v>
      </c>
      <c r="C540" s="168"/>
      <c r="D540" s="140"/>
      <c r="E540" s="168">
        <v>0.65029999999999999</v>
      </c>
      <c r="F540" s="168"/>
      <c r="G540" s="169"/>
      <c r="H540" s="168">
        <v>0.67200000000000004</v>
      </c>
      <c r="I540" s="141">
        <f t="shared" si="16"/>
        <v>2.1700000000000053E-2</v>
      </c>
      <c r="J540" s="142">
        <f t="shared" si="17"/>
        <v>3.2291666666666745</v>
      </c>
      <c r="K540" s="167" t="s">
        <v>996</v>
      </c>
      <c r="L540" s="62">
        <f>SUM(L541:L543)</f>
        <v>672000</v>
      </c>
      <c r="M540" s="86"/>
      <c r="N540" s="86"/>
    </row>
    <row r="541" spans="1:14">
      <c r="B541" s="171"/>
      <c r="C541" s="168"/>
      <c r="D541" s="140"/>
      <c r="E541" s="168"/>
      <c r="F541" s="168"/>
      <c r="G541" s="169"/>
      <c r="H541" s="168"/>
      <c r="I541" s="141"/>
      <c r="J541" s="142"/>
      <c r="K541" s="167" t="s">
        <v>993</v>
      </c>
      <c r="L541" s="62">
        <v>180000</v>
      </c>
      <c r="M541" s="86"/>
      <c r="N541" s="86"/>
    </row>
    <row r="542" spans="1:14">
      <c r="B542" s="171"/>
      <c r="C542" s="168"/>
      <c r="D542" s="140"/>
      <c r="E542" s="168"/>
      <c r="F542" s="168"/>
      <c r="G542" s="169"/>
      <c r="H542" s="168"/>
      <c r="I542" s="141"/>
      <c r="J542" s="142"/>
      <c r="K542" s="167" t="s">
        <v>994</v>
      </c>
      <c r="L542" s="62">
        <v>252000</v>
      </c>
      <c r="M542" s="86"/>
      <c r="N542" s="86"/>
    </row>
    <row r="543" spans="1:14">
      <c r="B543" s="171"/>
      <c r="C543" s="168"/>
      <c r="D543" s="140"/>
      <c r="E543" s="168"/>
      <c r="F543" s="168"/>
      <c r="G543" s="169"/>
      <c r="H543" s="168"/>
      <c r="I543" s="141"/>
      <c r="J543" s="142"/>
      <c r="K543" s="167" t="s">
        <v>995</v>
      </c>
      <c r="L543" s="62">
        <v>240000</v>
      </c>
      <c r="M543" s="86"/>
      <c r="N543" s="86"/>
    </row>
    <row r="544" spans="1:14">
      <c r="B544" s="171"/>
      <c r="C544" s="168"/>
      <c r="D544" s="140"/>
      <c r="E544" s="168"/>
      <c r="F544" s="168"/>
      <c r="G544" s="169"/>
      <c r="H544" s="168"/>
      <c r="I544" s="141"/>
      <c r="J544" s="142"/>
      <c r="K544" s="167"/>
      <c r="M544" s="86"/>
      <c r="N544" s="86"/>
    </row>
    <row r="545" spans="1:19" ht="93.75">
      <c r="B545" s="171" t="s">
        <v>672</v>
      </c>
      <c r="C545" s="168"/>
      <c r="D545" s="140"/>
      <c r="E545" s="168"/>
      <c r="F545" s="168"/>
      <c r="G545" s="169"/>
      <c r="H545" s="168">
        <v>1.8</v>
      </c>
      <c r="I545" s="141">
        <f t="shared" si="16"/>
        <v>1.8</v>
      </c>
      <c r="J545" s="142">
        <f t="shared" si="17"/>
        <v>100</v>
      </c>
      <c r="K545" s="167" t="s">
        <v>673</v>
      </c>
    </row>
    <row r="546" spans="1:19" ht="52.5" customHeight="1">
      <c r="B546" s="171" t="s">
        <v>114</v>
      </c>
      <c r="C546" s="168"/>
      <c r="D546" s="140"/>
      <c r="E546" s="168">
        <v>1.6908000000000001</v>
      </c>
      <c r="F546" s="168"/>
      <c r="G546" s="169"/>
      <c r="H546" s="168">
        <v>2.1473</v>
      </c>
      <c r="I546" s="141">
        <f t="shared" si="16"/>
        <v>0.45649999999999991</v>
      </c>
      <c r="J546" s="142">
        <f t="shared" si="17"/>
        <v>21.259255809621383</v>
      </c>
      <c r="K546" s="236" t="s">
        <v>680</v>
      </c>
      <c r="L546" s="62">
        <f>+L547+L549</f>
        <v>2147300</v>
      </c>
    </row>
    <row r="547" spans="1:19" ht="30.75" customHeight="1">
      <c r="B547" s="171"/>
      <c r="C547" s="168"/>
      <c r="D547" s="140"/>
      <c r="E547" s="168"/>
      <c r="F547" s="168"/>
      <c r="G547" s="169"/>
      <c r="H547" s="168"/>
      <c r="I547" s="141"/>
      <c r="J547" s="142"/>
      <c r="K547" s="236" t="s">
        <v>681</v>
      </c>
      <c r="L547" s="62">
        <v>1955300</v>
      </c>
    </row>
    <row r="548" spans="1:19" ht="31.5" customHeight="1">
      <c r="B548" s="171"/>
      <c r="C548" s="168"/>
      <c r="D548" s="140"/>
      <c r="E548" s="168"/>
      <c r="F548" s="168"/>
      <c r="G548" s="169"/>
      <c r="H548" s="168"/>
      <c r="I548" s="141"/>
      <c r="J548" s="142"/>
      <c r="K548" s="236" t="s">
        <v>682</v>
      </c>
    </row>
    <row r="549" spans="1:19" ht="31.5" customHeight="1">
      <c r="B549" s="171"/>
      <c r="C549" s="168"/>
      <c r="D549" s="140"/>
      <c r="E549" s="168"/>
      <c r="F549" s="168"/>
      <c r="G549" s="169"/>
      <c r="H549" s="168"/>
      <c r="I549" s="141"/>
      <c r="J549" s="142"/>
      <c r="K549" s="236" t="s">
        <v>717</v>
      </c>
      <c r="L549" s="62">
        <v>192000</v>
      </c>
    </row>
    <row r="550" spans="1:19" ht="31.5" customHeight="1">
      <c r="B550" s="171"/>
      <c r="C550" s="168"/>
      <c r="D550" s="140"/>
      <c r="E550" s="168"/>
      <c r="F550" s="168"/>
      <c r="G550" s="169"/>
      <c r="H550" s="168"/>
      <c r="I550" s="141"/>
      <c r="J550" s="142"/>
      <c r="K550" s="236"/>
    </row>
    <row r="551" spans="1:19" ht="31.5" customHeight="1">
      <c r="B551" s="171"/>
      <c r="C551" s="168"/>
      <c r="D551" s="140"/>
      <c r="E551" s="168"/>
      <c r="F551" s="168"/>
      <c r="G551" s="169"/>
      <c r="H551" s="168"/>
      <c r="I551" s="141"/>
      <c r="J551" s="142"/>
      <c r="K551" s="236"/>
    </row>
    <row r="552" spans="1:19" ht="30" customHeight="1">
      <c r="B552" s="171"/>
      <c r="C552" s="168"/>
      <c r="D552" s="140"/>
      <c r="E552" s="168"/>
      <c r="F552" s="168"/>
      <c r="G552" s="169"/>
      <c r="H552" s="168"/>
      <c r="I552" s="141"/>
      <c r="J552" s="142"/>
      <c r="K552" s="236"/>
    </row>
    <row r="553" spans="1:19" ht="21">
      <c r="B553" s="216" t="s">
        <v>43</v>
      </c>
      <c r="C553" s="133"/>
      <c r="D553" s="134"/>
      <c r="E553" s="133">
        <f>SUM(E555:E583)</f>
        <v>50.472000000000001</v>
      </c>
      <c r="F553" s="133"/>
      <c r="G553" s="134"/>
      <c r="H553" s="180">
        <f>SUM(H555:H583)</f>
        <v>41.730699999999999</v>
      </c>
      <c r="I553" s="182">
        <f t="shared" ref="I553:I607" si="18">+H553-E553</f>
        <v>-8.7413000000000025</v>
      </c>
      <c r="J553" s="183">
        <f t="shared" ref="J553:J607" si="19">+I553*100/H553</f>
        <v>-20.946928759881821</v>
      </c>
      <c r="K553" s="260"/>
    </row>
    <row r="554" spans="1:19">
      <c r="B554" s="167" t="s">
        <v>19</v>
      </c>
      <c r="C554" s="168"/>
      <c r="D554" s="140"/>
      <c r="E554" s="168"/>
      <c r="F554" s="168"/>
      <c r="G554" s="169"/>
      <c r="H554" s="168"/>
      <c r="I554" s="168"/>
      <c r="J554" s="168"/>
      <c r="K554" s="170"/>
    </row>
    <row r="555" spans="1:19" ht="56.25">
      <c r="B555" s="171" t="s">
        <v>85</v>
      </c>
      <c r="C555" s="168"/>
      <c r="D555" s="140"/>
      <c r="E555" s="168">
        <v>16.5</v>
      </c>
      <c r="F555" s="168"/>
      <c r="G555" s="169"/>
      <c r="H555" s="168">
        <f>18.2847-2+0.3537</f>
        <v>16.638400000000001</v>
      </c>
      <c r="I555" s="141">
        <f t="shared" si="18"/>
        <v>0.13840000000000074</v>
      </c>
      <c r="J555" s="142">
        <f t="shared" si="19"/>
        <v>0.83181075103375768</v>
      </c>
      <c r="K555" s="167" t="s">
        <v>683</v>
      </c>
      <c r="L555" s="62">
        <f>+L556+L557+L558+L559+L560</f>
        <v>18284700</v>
      </c>
    </row>
    <row r="556" spans="1:19">
      <c r="B556" s="171"/>
      <c r="C556" s="168"/>
      <c r="D556" s="140"/>
      <c r="E556" s="168"/>
      <c r="F556" s="168"/>
      <c r="G556" s="169"/>
      <c r="H556" s="168"/>
      <c r="I556" s="141"/>
      <c r="J556" s="142"/>
      <c r="K556" s="170" t="s">
        <v>684</v>
      </c>
      <c r="L556" s="62">
        <v>107100</v>
      </c>
    </row>
    <row r="557" spans="1:19" ht="37.5">
      <c r="B557" s="171"/>
      <c r="C557" s="168"/>
      <c r="D557" s="140"/>
      <c r="E557" s="168"/>
      <c r="F557" s="168"/>
      <c r="G557" s="169"/>
      <c r="H557" s="168"/>
      <c r="I557" s="141"/>
      <c r="J557" s="142"/>
      <c r="K557" s="167" t="s">
        <v>702</v>
      </c>
      <c r="L557" s="62">
        <v>9287200</v>
      </c>
    </row>
    <row r="558" spans="1:19" s="62" customFormat="1" ht="37.5">
      <c r="A558" s="1"/>
      <c r="B558" s="171"/>
      <c r="C558" s="168"/>
      <c r="D558" s="140"/>
      <c r="E558" s="168"/>
      <c r="F558" s="168"/>
      <c r="G558" s="169"/>
      <c r="H558" s="168"/>
      <c r="I558" s="141"/>
      <c r="J558" s="142"/>
      <c r="K558" s="167" t="s">
        <v>726</v>
      </c>
      <c r="L558" s="62">
        <v>7590000</v>
      </c>
      <c r="N558" s="1"/>
      <c r="O558" s="1"/>
      <c r="P558" s="1"/>
      <c r="Q558" s="1"/>
      <c r="R558" s="1"/>
      <c r="S558" s="1"/>
    </row>
    <row r="559" spans="1:19" s="62" customFormat="1">
      <c r="A559" s="1"/>
      <c r="B559" s="171"/>
      <c r="C559" s="168"/>
      <c r="D559" s="140"/>
      <c r="E559" s="168"/>
      <c r="F559" s="168"/>
      <c r="G559" s="169"/>
      <c r="H559" s="168"/>
      <c r="I559" s="141"/>
      <c r="J559" s="142"/>
      <c r="K559" s="170" t="s">
        <v>720</v>
      </c>
      <c r="L559" s="62">
        <v>282000</v>
      </c>
      <c r="N559" s="1"/>
      <c r="O559" s="1"/>
      <c r="P559" s="1"/>
      <c r="Q559" s="1"/>
      <c r="R559" s="1"/>
      <c r="S559" s="1"/>
    </row>
    <row r="560" spans="1:19" s="62" customFormat="1" ht="37.5">
      <c r="A560" s="1"/>
      <c r="B560" s="171"/>
      <c r="C560" s="168"/>
      <c r="D560" s="140"/>
      <c r="E560" s="168"/>
      <c r="F560" s="168"/>
      <c r="G560" s="169"/>
      <c r="H560" s="168"/>
      <c r="I560" s="141"/>
      <c r="J560" s="142"/>
      <c r="K560" s="167" t="s">
        <v>727</v>
      </c>
      <c r="L560" s="62">
        <v>1018400</v>
      </c>
      <c r="N560" s="1"/>
      <c r="O560" s="1"/>
      <c r="P560" s="1"/>
      <c r="Q560" s="1"/>
      <c r="R560" s="1"/>
      <c r="S560" s="1"/>
    </row>
    <row r="561" spans="1:19" s="62" customFormat="1" ht="37.5">
      <c r="A561" s="1"/>
      <c r="B561" s="171" t="s">
        <v>98</v>
      </c>
      <c r="C561" s="168"/>
      <c r="D561" s="140"/>
      <c r="E561" s="168">
        <v>2.1852999999999998</v>
      </c>
      <c r="F561" s="168"/>
      <c r="G561" s="169"/>
      <c r="H561" s="168">
        <v>3.95</v>
      </c>
      <c r="I561" s="141">
        <f t="shared" si="18"/>
        <v>1.7647000000000004</v>
      </c>
      <c r="J561" s="142">
        <f t="shared" si="19"/>
        <v>44.675949367088613</v>
      </c>
      <c r="K561" s="167" t="s">
        <v>687</v>
      </c>
      <c r="L561" s="62">
        <f>+L562+L563</f>
        <v>3950000</v>
      </c>
      <c r="N561" s="1"/>
      <c r="O561" s="1"/>
      <c r="P561" s="1"/>
      <c r="Q561" s="1"/>
      <c r="R561" s="1"/>
      <c r="S561" s="1"/>
    </row>
    <row r="562" spans="1:19" s="62" customFormat="1">
      <c r="A562" s="1"/>
      <c r="B562" s="171"/>
      <c r="C562" s="168"/>
      <c r="D562" s="140"/>
      <c r="E562" s="168"/>
      <c r="F562" s="168"/>
      <c r="G562" s="169"/>
      <c r="H562" s="168"/>
      <c r="I562" s="141"/>
      <c r="J562" s="142"/>
      <c r="K562" s="170" t="s">
        <v>728</v>
      </c>
      <c r="L562" s="62">
        <v>3875000</v>
      </c>
      <c r="N562" s="1"/>
      <c r="O562" s="1"/>
      <c r="P562" s="1"/>
      <c r="Q562" s="1"/>
      <c r="R562" s="1"/>
      <c r="S562" s="1"/>
    </row>
    <row r="563" spans="1:19" s="62" customFormat="1">
      <c r="A563" s="1"/>
      <c r="B563" s="171"/>
      <c r="C563" s="168"/>
      <c r="D563" s="140"/>
      <c r="E563" s="168"/>
      <c r="F563" s="168"/>
      <c r="G563" s="169"/>
      <c r="H563" s="168"/>
      <c r="I563" s="141"/>
      <c r="J563" s="142"/>
      <c r="K563" s="170" t="s">
        <v>725</v>
      </c>
      <c r="L563" s="62">
        <v>75000</v>
      </c>
      <c r="N563" s="1"/>
      <c r="O563" s="1"/>
      <c r="P563" s="1"/>
      <c r="Q563" s="1"/>
      <c r="R563" s="1"/>
      <c r="S563" s="1"/>
    </row>
    <row r="564" spans="1:19" s="62" customFormat="1" ht="26.25" customHeight="1">
      <c r="A564" s="1"/>
      <c r="B564" s="171" t="s">
        <v>99</v>
      </c>
      <c r="C564" s="168"/>
      <c r="D564" s="140"/>
      <c r="E564" s="168">
        <v>2.258</v>
      </c>
      <c r="F564" s="168"/>
      <c r="G564" s="169"/>
      <c r="H564" s="168">
        <v>1.675</v>
      </c>
      <c r="I564" s="141">
        <f t="shared" si="18"/>
        <v>-0.58299999999999996</v>
      </c>
      <c r="J564" s="142">
        <f t="shared" si="19"/>
        <v>-34.805970149253731</v>
      </c>
      <c r="K564" s="167" t="s">
        <v>689</v>
      </c>
      <c r="L564" s="62">
        <f>+L565+L566</f>
        <v>1675000</v>
      </c>
      <c r="N564" s="1"/>
      <c r="O564" s="1"/>
      <c r="P564" s="1"/>
      <c r="Q564" s="1"/>
      <c r="R564" s="1"/>
      <c r="S564" s="1"/>
    </row>
    <row r="565" spans="1:19" s="62" customFormat="1" ht="26.25" customHeight="1">
      <c r="A565" s="1"/>
      <c r="B565" s="171"/>
      <c r="C565" s="168"/>
      <c r="D565" s="140"/>
      <c r="E565" s="168"/>
      <c r="F565" s="168"/>
      <c r="G565" s="169"/>
      <c r="H565" s="168"/>
      <c r="I565" s="141"/>
      <c r="J565" s="142"/>
      <c r="K565" s="170" t="s">
        <v>729</v>
      </c>
      <c r="L565" s="62">
        <v>1575000</v>
      </c>
      <c r="N565" s="1"/>
      <c r="O565" s="1"/>
      <c r="P565" s="1"/>
      <c r="Q565" s="1"/>
      <c r="R565" s="1"/>
      <c r="S565" s="1"/>
    </row>
    <row r="566" spans="1:19" s="62" customFormat="1" ht="26.25" customHeight="1">
      <c r="A566" s="1"/>
      <c r="B566" s="171"/>
      <c r="C566" s="168"/>
      <c r="D566" s="140"/>
      <c r="E566" s="168"/>
      <c r="F566" s="168"/>
      <c r="G566" s="169"/>
      <c r="H566" s="168"/>
      <c r="I566" s="141"/>
      <c r="J566" s="142"/>
      <c r="K566" s="170" t="s">
        <v>725</v>
      </c>
      <c r="L566" s="62">
        <v>100000</v>
      </c>
      <c r="N566" s="1"/>
      <c r="O566" s="1"/>
      <c r="P566" s="1"/>
      <c r="Q566" s="1"/>
      <c r="R566" s="1"/>
      <c r="S566" s="1"/>
    </row>
    <row r="567" spans="1:19" s="62" customFormat="1" ht="37.5">
      <c r="A567" s="1"/>
      <c r="B567" s="171" t="s">
        <v>100</v>
      </c>
      <c r="C567" s="168"/>
      <c r="D567" s="140"/>
      <c r="E567" s="168">
        <v>1.4550000000000001</v>
      </c>
      <c r="F567" s="168"/>
      <c r="G567" s="169"/>
      <c r="H567" s="168">
        <v>3.5750000000000002</v>
      </c>
      <c r="I567" s="141">
        <f t="shared" si="18"/>
        <v>2.12</v>
      </c>
      <c r="J567" s="142">
        <f t="shared" si="19"/>
        <v>59.3006993006993</v>
      </c>
      <c r="K567" s="167" t="s">
        <v>700</v>
      </c>
      <c r="L567" s="62">
        <f>+L568+L569+L570</f>
        <v>3575000</v>
      </c>
      <c r="N567" s="1"/>
      <c r="O567" s="1"/>
      <c r="P567" s="1"/>
      <c r="Q567" s="1"/>
      <c r="R567" s="1"/>
      <c r="S567" s="1"/>
    </row>
    <row r="568" spans="1:19" s="62" customFormat="1">
      <c r="A568" s="1"/>
      <c r="B568" s="171"/>
      <c r="C568" s="168"/>
      <c r="D568" s="140"/>
      <c r="E568" s="168"/>
      <c r="F568" s="168"/>
      <c r="G568" s="169"/>
      <c r="H568" s="168"/>
      <c r="I568" s="141"/>
      <c r="J568" s="142"/>
      <c r="K568" s="167" t="s">
        <v>701</v>
      </c>
      <c r="L568" s="62">
        <v>2125000</v>
      </c>
      <c r="N568" s="1"/>
      <c r="O568" s="1"/>
      <c r="P568" s="1"/>
      <c r="Q568" s="1"/>
      <c r="R568" s="1"/>
      <c r="S568" s="1"/>
    </row>
    <row r="569" spans="1:19" s="62" customFormat="1">
      <c r="A569" s="1"/>
      <c r="B569" s="171"/>
      <c r="C569" s="168"/>
      <c r="D569" s="140"/>
      <c r="E569" s="168"/>
      <c r="F569" s="168"/>
      <c r="G569" s="169"/>
      <c r="H569" s="168"/>
      <c r="I569" s="141"/>
      <c r="J569" s="142"/>
      <c r="K569" s="167" t="s">
        <v>690</v>
      </c>
      <c r="L569" s="62">
        <v>1300000</v>
      </c>
      <c r="N569" s="1"/>
      <c r="O569" s="1"/>
      <c r="P569" s="1"/>
      <c r="Q569" s="1"/>
      <c r="R569" s="1"/>
      <c r="S569" s="1"/>
    </row>
    <row r="570" spans="1:19" s="62" customFormat="1">
      <c r="A570" s="1"/>
      <c r="B570" s="171"/>
      <c r="C570" s="168"/>
      <c r="D570" s="140"/>
      <c r="E570" s="168"/>
      <c r="F570" s="168"/>
      <c r="G570" s="169"/>
      <c r="H570" s="168"/>
      <c r="I570" s="141"/>
      <c r="J570" s="142"/>
      <c r="K570" s="170" t="s">
        <v>725</v>
      </c>
      <c r="L570" s="62">
        <v>150000</v>
      </c>
      <c r="N570" s="1"/>
      <c r="O570" s="1"/>
      <c r="P570" s="1"/>
      <c r="Q570" s="1"/>
      <c r="R570" s="1"/>
      <c r="S570" s="1"/>
    </row>
    <row r="571" spans="1:19" s="62" customFormat="1" ht="56.25">
      <c r="A571" s="1"/>
      <c r="B571" s="171" t="s">
        <v>677</v>
      </c>
      <c r="C571" s="168"/>
      <c r="D571" s="140"/>
      <c r="E571" s="168">
        <v>7.3120000000000003</v>
      </c>
      <c r="F571" s="168"/>
      <c r="G571" s="169"/>
      <c r="H571" s="168">
        <v>2.2715000000000001</v>
      </c>
      <c r="I571" s="141">
        <f t="shared" si="18"/>
        <v>-5.0404999999999998</v>
      </c>
      <c r="J571" s="142">
        <f t="shared" si="19"/>
        <v>-221.90182698657273</v>
      </c>
      <c r="K571" s="167" t="s">
        <v>675</v>
      </c>
      <c r="N571" s="1"/>
      <c r="O571" s="1"/>
      <c r="P571" s="1"/>
      <c r="Q571" s="1"/>
      <c r="R571" s="1"/>
      <c r="S571" s="1"/>
    </row>
    <row r="572" spans="1:19" s="62" customFormat="1" ht="112.5">
      <c r="A572" s="1"/>
      <c r="B572" s="171"/>
      <c r="C572" s="168"/>
      <c r="D572" s="140"/>
      <c r="E572" s="168"/>
      <c r="F572" s="168"/>
      <c r="G572" s="169"/>
      <c r="H572" s="168"/>
      <c r="I572" s="141"/>
      <c r="J572" s="142"/>
      <c r="K572" s="167" t="s">
        <v>676</v>
      </c>
      <c r="N572" s="1"/>
      <c r="O572" s="1"/>
      <c r="P572" s="1"/>
      <c r="Q572" s="1"/>
      <c r="R572" s="1"/>
      <c r="S572" s="1"/>
    </row>
    <row r="573" spans="1:19" s="62" customFormat="1">
      <c r="A573" s="1"/>
      <c r="B573" s="171" t="s">
        <v>102</v>
      </c>
      <c r="C573" s="168"/>
      <c r="D573" s="140"/>
      <c r="E573" s="168">
        <v>18.761700000000001</v>
      </c>
      <c r="F573" s="168"/>
      <c r="G573" s="169"/>
      <c r="H573" s="168"/>
      <c r="I573" s="141">
        <f t="shared" si="18"/>
        <v>-18.761700000000001</v>
      </c>
      <c r="J573" s="142">
        <v>0</v>
      </c>
      <c r="K573" s="170" t="s">
        <v>691</v>
      </c>
      <c r="N573" s="1"/>
      <c r="O573" s="1"/>
      <c r="P573" s="1"/>
      <c r="Q573" s="1"/>
      <c r="R573" s="1"/>
      <c r="S573" s="1"/>
    </row>
    <row r="574" spans="1:19" s="62" customFormat="1" ht="37.5">
      <c r="A574" s="1"/>
      <c r="B574" s="171"/>
      <c r="C574" s="168"/>
      <c r="D574" s="140"/>
      <c r="E574" s="168"/>
      <c r="F574" s="168"/>
      <c r="G574" s="169"/>
      <c r="H574" s="168"/>
      <c r="I574" s="141"/>
      <c r="J574" s="142"/>
      <c r="K574" s="167" t="s">
        <v>692</v>
      </c>
      <c r="L574" s="62">
        <v>1044000</v>
      </c>
      <c r="N574" s="1"/>
      <c r="O574" s="1"/>
      <c r="P574" s="1"/>
      <c r="Q574" s="1"/>
      <c r="R574" s="1"/>
      <c r="S574" s="1"/>
    </row>
    <row r="575" spans="1:19" s="62" customFormat="1">
      <c r="A575" s="1"/>
      <c r="B575" s="171"/>
      <c r="C575" s="168"/>
      <c r="D575" s="140"/>
      <c r="E575" s="168"/>
      <c r="F575" s="168"/>
      <c r="G575" s="169"/>
      <c r="H575" s="168"/>
      <c r="I575" s="141"/>
      <c r="J575" s="142"/>
      <c r="K575" s="170"/>
      <c r="N575" s="1"/>
      <c r="O575" s="1"/>
      <c r="P575" s="1"/>
      <c r="Q575" s="1"/>
      <c r="R575" s="1"/>
      <c r="S575" s="1"/>
    </row>
    <row r="576" spans="1:19" s="62" customFormat="1">
      <c r="A576" s="1"/>
      <c r="B576" s="171"/>
      <c r="C576" s="168"/>
      <c r="D576" s="140"/>
      <c r="E576" s="168"/>
      <c r="F576" s="168"/>
      <c r="G576" s="169"/>
      <c r="H576" s="168"/>
      <c r="I576" s="141"/>
      <c r="J576" s="142"/>
      <c r="K576" s="170"/>
      <c r="N576" s="1"/>
      <c r="O576" s="1"/>
      <c r="P576" s="1"/>
      <c r="Q576" s="1"/>
      <c r="R576" s="1"/>
      <c r="S576" s="1"/>
    </row>
    <row r="577" spans="1:19" s="62" customFormat="1">
      <c r="A577" s="1"/>
      <c r="B577" s="171" t="s">
        <v>133</v>
      </c>
      <c r="C577" s="168"/>
      <c r="D577" s="140"/>
      <c r="E577" s="168">
        <v>2</v>
      </c>
      <c r="F577" s="168"/>
      <c r="G577" s="169"/>
      <c r="H577" s="168">
        <v>3.4487999999999999</v>
      </c>
      <c r="I577" s="141">
        <f t="shared" si="18"/>
        <v>1.4487999999999999</v>
      </c>
      <c r="J577" s="142">
        <f t="shared" si="19"/>
        <v>42.008814660171652</v>
      </c>
      <c r="K577" s="170" t="s">
        <v>697</v>
      </c>
      <c r="L577" s="62">
        <f>+L578+L579+L580</f>
        <v>3448800</v>
      </c>
      <c r="N577" s="1"/>
      <c r="O577" s="1"/>
      <c r="P577" s="1"/>
      <c r="Q577" s="1"/>
      <c r="R577" s="1"/>
      <c r="S577" s="1"/>
    </row>
    <row r="578" spans="1:19" s="62" customFormat="1">
      <c r="A578" s="1"/>
      <c r="B578" s="171"/>
      <c r="C578" s="168"/>
      <c r="D578" s="140"/>
      <c r="E578" s="168"/>
      <c r="F578" s="168"/>
      <c r="G578" s="169"/>
      <c r="H578" s="168"/>
      <c r="I578" s="141"/>
      <c r="J578" s="142"/>
      <c r="K578" s="170" t="s">
        <v>699</v>
      </c>
      <c r="L578" s="62">
        <v>2499600</v>
      </c>
      <c r="N578" s="1"/>
      <c r="O578" s="1"/>
      <c r="P578" s="1"/>
      <c r="Q578" s="1"/>
      <c r="R578" s="1"/>
      <c r="S578" s="1"/>
    </row>
    <row r="579" spans="1:19" s="62" customFormat="1">
      <c r="A579" s="1"/>
      <c r="B579" s="171"/>
      <c r="C579" s="168"/>
      <c r="D579" s="140"/>
      <c r="E579" s="168"/>
      <c r="F579" s="168"/>
      <c r="G579" s="169"/>
      <c r="H579" s="168"/>
      <c r="I579" s="141"/>
      <c r="J579" s="142"/>
      <c r="K579" s="170" t="s">
        <v>721</v>
      </c>
      <c r="L579" s="62">
        <v>750400</v>
      </c>
      <c r="N579" s="1"/>
      <c r="O579" s="1"/>
      <c r="P579" s="1"/>
      <c r="Q579" s="1"/>
      <c r="R579" s="1"/>
      <c r="S579" s="1"/>
    </row>
    <row r="580" spans="1:19" s="62" customFormat="1">
      <c r="A580" s="1"/>
      <c r="B580" s="171"/>
      <c r="C580" s="168"/>
      <c r="D580" s="140"/>
      <c r="E580" s="168"/>
      <c r="F580" s="168"/>
      <c r="G580" s="169"/>
      <c r="H580" s="168"/>
      <c r="I580" s="141"/>
      <c r="J580" s="142"/>
      <c r="K580" s="170" t="s">
        <v>730</v>
      </c>
      <c r="L580" s="62">
        <v>198800</v>
      </c>
      <c r="N580" s="1"/>
      <c r="O580" s="1"/>
      <c r="P580" s="1"/>
      <c r="Q580" s="1"/>
      <c r="R580" s="1"/>
      <c r="S580" s="1"/>
    </row>
    <row r="581" spans="1:19" s="62" customFormat="1" ht="37.5">
      <c r="A581" s="1"/>
      <c r="B581" s="171" t="s">
        <v>685</v>
      </c>
      <c r="C581" s="168"/>
      <c r="D581" s="140"/>
      <c r="E581" s="168"/>
      <c r="F581" s="168"/>
      <c r="G581" s="169"/>
      <c r="H581" s="168">
        <v>2.34</v>
      </c>
      <c r="I581" s="141">
        <f t="shared" si="18"/>
        <v>2.34</v>
      </c>
      <c r="J581" s="142">
        <f t="shared" si="19"/>
        <v>100</v>
      </c>
      <c r="K581" s="167" t="s">
        <v>686</v>
      </c>
      <c r="N581" s="1"/>
      <c r="O581" s="1"/>
      <c r="P581" s="1"/>
      <c r="Q581" s="1"/>
      <c r="R581" s="1"/>
      <c r="S581" s="1"/>
    </row>
    <row r="582" spans="1:19" s="62" customFormat="1">
      <c r="A582" s="1"/>
      <c r="B582" s="171"/>
      <c r="C582" s="168"/>
      <c r="D582" s="140"/>
      <c r="E582" s="168"/>
      <c r="F582" s="168"/>
      <c r="G582" s="169"/>
      <c r="H582" s="168"/>
      <c r="I582" s="141"/>
      <c r="J582" s="142"/>
      <c r="K582" s="167"/>
      <c r="N582" s="1"/>
      <c r="O582" s="1"/>
      <c r="P582" s="1"/>
      <c r="Q582" s="1"/>
      <c r="R582" s="1"/>
      <c r="S582" s="1"/>
    </row>
    <row r="583" spans="1:19" s="62" customFormat="1" ht="40.5">
      <c r="A583" s="1"/>
      <c r="B583" s="167" t="s">
        <v>69</v>
      </c>
      <c r="C583" s="168"/>
      <c r="D583" s="140"/>
      <c r="E583" s="168"/>
      <c r="F583" s="168"/>
      <c r="G583" s="169"/>
      <c r="H583" s="168">
        <v>7.8319999999999999</v>
      </c>
      <c r="I583" s="141">
        <f t="shared" si="18"/>
        <v>7.8319999999999999</v>
      </c>
      <c r="J583" s="142">
        <f t="shared" si="19"/>
        <v>100</v>
      </c>
      <c r="K583" s="237" t="s">
        <v>693</v>
      </c>
      <c r="L583" s="62">
        <f>+L586+L587+L588</f>
        <v>7832000</v>
      </c>
      <c r="N583" s="1"/>
      <c r="O583" s="1"/>
      <c r="P583" s="1"/>
      <c r="Q583" s="1"/>
      <c r="R583" s="1"/>
      <c r="S583" s="1"/>
    </row>
    <row r="584" spans="1:19" s="62" customFormat="1" ht="21">
      <c r="A584" s="1"/>
      <c r="B584" s="171" t="s">
        <v>2</v>
      </c>
      <c r="C584" s="172"/>
      <c r="D584" s="173"/>
      <c r="E584" s="172"/>
      <c r="F584" s="168"/>
      <c r="G584" s="169"/>
      <c r="H584" s="172"/>
      <c r="I584" s="141"/>
      <c r="J584" s="142"/>
      <c r="K584" s="238"/>
      <c r="N584" s="1"/>
      <c r="O584" s="1"/>
      <c r="P584" s="1"/>
      <c r="Q584" s="1"/>
      <c r="R584" s="1"/>
      <c r="S584" s="1"/>
    </row>
    <row r="585" spans="1:19" s="62" customFormat="1" ht="21">
      <c r="A585" s="1"/>
      <c r="B585" s="171" t="s">
        <v>3</v>
      </c>
      <c r="C585" s="172"/>
      <c r="D585" s="173"/>
      <c r="E585" s="172"/>
      <c r="F585" s="168"/>
      <c r="G585" s="169"/>
      <c r="H585" s="172"/>
      <c r="I585" s="141"/>
      <c r="J585" s="142"/>
      <c r="K585" s="238"/>
      <c r="N585" s="1"/>
      <c r="O585" s="1"/>
      <c r="P585" s="1"/>
      <c r="Q585" s="1"/>
      <c r="R585" s="1"/>
      <c r="S585" s="1"/>
    </row>
    <row r="586" spans="1:19" s="62" customFormat="1" ht="37.5">
      <c r="A586" s="1"/>
      <c r="B586" s="171" t="s">
        <v>696</v>
      </c>
      <c r="C586" s="172"/>
      <c r="D586" s="173"/>
      <c r="E586" s="172"/>
      <c r="F586" s="168"/>
      <c r="G586" s="169"/>
      <c r="H586" s="172"/>
      <c r="I586" s="141"/>
      <c r="J586" s="142"/>
      <c r="K586" s="239" t="s">
        <v>694</v>
      </c>
      <c r="L586" s="62">
        <v>2700000</v>
      </c>
      <c r="N586" s="1"/>
      <c r="O586" s="1"/>
      <c r="P586" s="1"/>
      <c r="Q586" s="1"/>
      <c r="R586" s="1"/>
      <c r="S586" s="1"/>
    </row>
    <row r="587" spans="1:19" s="62" customFormat="1">
      <c r="A587" s="1"/>
      <c r="B587" s="171"/>
      <c r="C587" s="172"/>
      <c r="D587" s="173"/>
      <c r="E587" s="172"/>
      <c r="F587" s="168"/>
      <c r="G587" s="169"/>
      <c r="H587" s="172"/>
      <c r="I587" s="141"/>
      <c r="J587" s="142"/>
      <c r="K587" s="240" t="s">
        <v>695</v>
      </c>
      <c r="L587" s="62">
        <v>3132000</v>
      </c>
      <c r="N587" s="1"/>
      <c r="O587" s="1"/>
      <c r="P587" s="1"/>
      <c r="Q587" s="1"/>
      <c r="R587" s="1"/>
      <c r="S587" s="1"/>
    </row>
    <row r="588" spans="1:19" s="62" customFormat="1" ht="37.5">
      <c r="A588" s="1"/>
      <c r="B588" s="171" t="s">
        <v>1029</v>
      </c>
      <c r="C588" s="172"/>
      <c r="D588" s="173"/>
      <c r="E588" s="172"/>
      <c r="F588" s="168"/>
      <c r="G588" s="169"/>
      <c r="H588" s="172"/>
      <c r="I588" s="141"/>
      <c r="J588" s="142"/>
      <c r="K588" s="241" t="s">
        <v>722</v>
      </c>
      <c r="L588" s="62">
        <v>2000000</v>
      </c>
      <c r="N588" s="1"/>
      <c r="O588" s="1"/>
      <c r="P588" s="1"/>
      <c r="Q588" s="1"/>
      <c r="R588" s="1"/>
      <c r="S588" s="1"/>
    </row>
    <row r="589" spans="1:19" s="62" customFormat="1" ht="21">
      <c r="A589" s="1"/>
      <c r="B589" s="171"/>
      <c r="C589" s="172"/>
      <c r="D589" s="173"/>
      <c r="E589" s="172"/>
      <c r="F589" s="168"/>
      <c r="G589" s="169"/>
      <c r="H589" s="172"/>
      <c r="I589" s="141"/>
      <c r="J589" s="142"/>
      <c r="K589" s="238"/>
      <c r="N589" s="1"/>
      <c r="O589" s="1"/>
      <c r="P589" s="1"/>
      <c r="Q589" s="1"/>
      <c r="R589" s="1"/>
      <c r="S589" s="1"/>
    </row>
    <row r="590" spans="1:19" s="62" customFormat="1" ht="21">
      <c r="A590" s="1"/>
      <c r="B590" s="167" t="s">
        <v>22</v>
      </c>
      <c r="C590" s="168"/>
      <c r="D590" s="140"/>
      <c r="E590" s="168"/>
      <c r="F590" s="168"/>
      <c r="G590" s="169"/>
      <c r="H590" s="168"/>
      <c r="I590" s="141"/>
      <c r="J590" s="142"/>
      <c r="K590" s="238"/>
      <c r="N590" s="1"/>
      <c r="O590" s="1"/>
      <c r="P590" s="1"/>
      <c r="Q590" s="1"/>
      <c r="R590" s="1"/>
      <c r="S590" s="1"/>
    </row>
    <row r="591" spans="1:19" s="62" customFormat="1" ht="21">
      <c r="A591" s="1"/>
      <c r="B591" s="171" t="s">
        <v>21</v>
      </c>
      <c r="C591" s="168"/>
      <c r="D591" s="140"/>
      <c r="E591" s="168"/>
      <c r="F591" s="168"/>
      <c r="G591" s="169"/>
      <c r="H591" s="168"/>
      <c r="I591" s="141"/>
      <c r="J591" s="142"/>
      <c r="K591" s="238"/>
      <c r="N591" s="1"/>
      <c r="O591" s="1"/>
      <c r="P591" s="1"/>
      <c r="Q591" s="1"/>
      <c r="R591" s="1"/>
      <c r="S591" s="1"/>
    </row>
    <row r="592" spans="1:19" s="62" customFormat="1">
      <c r="A592" s="1"/>
      <c r="B592" s="167" t="s">
        <v>20</v>
      </c>
      <c r="C592" s="168"/>
      <c r="D592" s="140"/>
      <c r="E592" s="168"/>
      <c r="F592" s="168"/>
      <c r="G592" s="169"/>
      <c r="H592" s="168"/>
      <c r="I592" s="141"/>
      <c r="J592" s="142"/>
      <c r="K592" s="170"/>
      <c r="N592" s="1"/>
      <c r="O592" s="1"/>
      <c r="P592" s="1"/>
      <c r="Q592" s="1"/>
      <c r="R592" s="1"/>
      <c r="S592" s="1"/>
    </row>
    <row r="593" spans="1:19" s="62" customFormat="1">
      <c r="A593" s="1"/>
      <c r="B593" s="171" t="s">
        <v>17</v>
      </c>
      <c r="C593" s="168"/>
      <c r="D593" s="140"/>
      <c r="E593" s="168"/>
      <c r="F593" s="168"/>
      <c r="G593" s="169"/>
      <c r="H593" s="168"/>
      <c r="I593" s="141"/>
      <c r="J593" s="142"/>
      <c r="K593" s="170"/>
      <c r="N593" s="1"/>
      <c r="O593" s="1"/>
      <c r="P593" s="1"/>
      <c r="Q593" s="1"/>
      <c r="R593" s="1"/>
      <c r="S593" s="1"/>
    </row>
    <row r="594" spans="1:19" s="62" customFormat="1">
      <c r="A594" s="1"/>
      <c r="B594" s="216" t="s">
        <v>44</v>
      </c>
      <c r="C594" s="133"/>
      <c r="D594" s="134"/>
      <c r="E594" s="133">
        <f>SUM(E595:E637)</f>
        <v>289.46479999999997</v>
      </c>
      <c r="F594" s="133"/>
      <c r="G594" s="134"/>
      <c r="H594" s="133">
        <f>SUM(H595:H637)</f>
        <v>321.96390000000002</v>
      </c>
      <c r="I594" s="135">
        <f t="shared" si="18"/>
        <v>32.499100000000055</v>
      </c>
      <c r="J594" s="136">
        <f t="shared" si="19"/>
        <v>10.09401985750578</v>
      </c>
      <c r="K594" s="137"/>
      <c r="N594" s="1"/>
      <c r="O594" s="1"/>
      <c r="P594" s="1"/>
      <c r="Q594" s="1"/>
      <c r="R594" s="1"/>
      <c r="S594" s="1"/>
    </row>
    <row r="595" spans="1:19" s="62" customFormat="1" ht="37.5">
      <c r="A595" s="1"/>
      <c r="B595" s="171" t="s">
        <v>90</v>
      </c>
      <c r="C595" s="168"/>
      <c r="D595" s="140"/>
      <c r="E595" s="168">
        <v>3</v>
      </c>
      <c r="F595" s="168"/>
      <c r="G595" s="169"/>
      <c r="H595" s="168">
        <f>3.78-0.168</f>
        <v>3.6119999999999997</v>
      </c>
      <c r="I595" s="141">
        <f t="shared" si="18"/>
        <v>0.61199999999999966</v>
      </c>
      <c r="J595" s="142">
        <f t="shared" si="19"/>
        <v>16.943521594684377</v>
      </c>
      <c r="K595" s="167" t="s">
        <v>703</v>
      </c>
      <c r="L595" s="62">
        <f>SUM(L596:L600)</f>
        <v>3780000</v>
      </c>
      <c r="N595" s="1"/>
      <c r="O595" s="1"/>
      <c r="P595" s="1"/>
      <c r="Q595" s="1"/>
      <c r="R595" s="1"/>
      <c r="S595" s="1"/>
    </row>
    <row r="596" spans="1:19" s="62" customFormat="1">
      <c r="A596" s="1"/>
      <c r="B596" s="171"/>
      <c r="C596" s="168"/>
      <c r="D596" s="140"/>
      <c r="E596" s="168"/>
      <c r="F596" s="168"/>
      <c r="G596" s="169"/>
      <c r="H596" s="168"/>
      <c r="I596" s="141"/>
      <c r="J596" s="142"/>
      <c r="K596" s="167" t="s">
        <v>704</v>
      </c>
      <c r="L596" s="62">
        <v>2250000</v>
      </c>
      <c r="N596" s="1"/>
      <c r="O596" s="1"/>
      <c r="P596" s="1"/>
      <c r="Q596" s="1"/>
      <c r="R596" s="1"/>
      <c r="S596" s="1"/>
    </row>
    <row r="597" spans="1:19" s="62" customFormat="1">
      <c r="A597" s="1"/>
      <c r="B597" s="171"/>
      <c r="C597" s="168"/>
      <c r="D597" s="140"/>
      <c r="E597" s="168"/>
      <c r="F597" s="168"/>
      <c r="G597" s="169"/>
      <c r="H597" s="168"/>
      <c r="I597" s="141"/>
      <c r="J597" s="142"/>
      <c r="K597" s="167" t="s">
        <v>705</v>
      </c>
      <c r="L597" s="62">
        <v>750000</v>
      </c>
      <c r="N597" s="1"/>
      <c r="O597" s="1"/>
      <c r="P597" s="1"/>
      <c r="Q597" s="1"/>
      <c r="R597" s="1"/>
      <c r="S597" s="1"/>
    </row>
    <row r="598" spans="1:19" s="62" customFormat="1">
      <c r="A598" s="1"/>
      <c r="B598" s="171"/>
      <c r="C598" s="168"/>
      <c r="D598" s="140"/>
      <c r="E598" s="168"/>
      <c r="F598" s="168"/>
      <c r="G598" s="169"/>
      <c r="H598" s="168"/>
      <c r="I598" s="141"/>
      <c r="J598" s="142"/>
      <c r="K598" s="170" t="s">
        <v>684</v>
      </c>
      <c r="L598" s="62">
        <v>340000</v>
      </c>
      <c r="N598" s="1"/>
      <c r="O598" s="1"/>
      <c r="P598" s="1"/>
      <c r="Q598" s="1"/>
      <c r="R598" s="1"/>
      <c r="S598" s="1"/>
    </row>
    <row r="599" spans="1:19" s="62" customFormat="1">
      <c r="A599" s="1"/>
      <c r="B599" s="171"/>
      <c r="C599" s="168"/>
      <c r="D599" s="140"/>
      <c r="E599" s="168"/>
      <c r="F599" s="168"/>
      <c r="G599" s="169"/>
      <c r="H599" s="168"/>
      <c r="I599" s="141"/>
      <c r="J599" s="142"/>
      <c r="K599" s="170" t="s">
        <v>723</v>
      </c>
      <c r="L599" s="62">
        <v>340000</v>
      </c>
      <c r="N599" s="1"/>
      <c r="O599" s="1"/>
      <c r="P599" s="1"/>
      <c r="Q599" s="1"/>
      <c r="R599" s="1"/>
      <c r="S599" s="1"/>
    </row>
    <row r="600" spans="1:19" s="62" customFormat="1">
      <c r="A600" s="1"/>
      <c r="B600" s="171"/>
      <c r="C600" s="168"/>
      <c r="D600" s="140"/>
      <c r="E600" s="168"/>
      <c r="F600" s="168"/>
      <c r="G600" s="169"/>
      <c r="H600" s="168"/>
      <c r="I600" s="141"/>
      <c r="J600" s="142"/>
      <c r="K600" s="170" t="s">
        <v>730</v>
      </c>
      <c r="L600" s="62">
        <v>100000</v>
      </c>
      <c r="N600" s="1"/>
      <c r="O600" s="1"/>
      <c r="P600" s="1"/>
      <c r="Q600" s="1"/>
      <c r="R600" s="1"/>
      <c r="S600" s="1"/>
    </row>
    <row r="601" spans="1:19" s="62" customFormat="1" ht="37.5">
      <c r="A601" s="1"/>
      <c r="B601" s="171" t="s">
        <v>91</v>
      </c>
      <c r="C601" s="168"/>
      <c r="D601" s="140"/>
      <c r="E601" s="168">
        <v>4</v>
      </c>
      <c r="F601" s="168"/>
      <c r="G601" s="169"/>
      <c r="H601" s="168">
        <v>6.867</v>
      </c>
      <c r="I601" s="141">
        <f t="shared" si="18"/>
        <v>2.867</v>
      </c>
      <c r="J601" s="142">
        <f t="shared" si="19"/>
        <v>41.750400465996798</v>
      </c>
      <c r="K601" s="167" t="s">
        <v>706</v>
      </c>
      <c r="L601" s="62">
        <f>SUM(L602:L604)</f>
        <v>6867000</v>
      </c>
      <c r="N601" s="1"/>
      <c r="O601" s="1"/>
      <c r="P601" s="1"/>
      <c r="Q601" s="1"/>
      <c r="R601" s="1"/>
      <c r="S601" s="1"/>
    </row>
    <row r="602" spans="1:19" s="62" customFormat="1">
      <c r="A602" s="1"/>
      <c r="B602" s="171"/>
      <c r="C602" s="168"/>
      <c r="D602" s="140"/>
      <c r="E602" s="168"/>
      <c r="F602" s="168"/>
      <c r="G602" s="169"/>
      <c r="H602" s="168"/>
      <c r="I602" s="141"/>
      <c r="J602" s="142"/>
      <c r="K602" s="170" t="s">
        <v>714</v>
      </c>
      <c r="L602" s="62">
        <v>3192000</v>
      </c>
      <c r="N602" s="1"/>
      <c r="O602" s="1"/>
      <c r="P602" s="1"/>
      <c r="Q602" s="1"/>
      <c r="R602" s="1"/>
      <c r="S602" s="1"/>
    </row>
    <row r="603" spans="1:19" s="62" customFormat="1">
      <c r="A603" s="1"/>
      <c r="B603" s="171"/>
      <c r="C603" s="168"/>
      <c r="D603" s="140"/>
      <c r="E603" s="168"/>
      <c r="F603" s="168"/>
      <c r="G603" s="169"/>
      <c r="H603" s="168"/>
      <c r="I603" s="141"/>
      <c r="J603" s="142"/>
      <c r="K603" s="170" t="s">
        <v>723</v>
      </c>
      <c r="L603" s="62">
        <v>1000000</v>
      </c>
      <c r="N603" s="1"/>
      <c r="O603" s="1"/>
      <c r="P603" s="1"/>
      <c r="Q603" s="1"/>
      <c r="R603" s="1"/>
      <c r="S603" s="1"/>
    </row>
    <row r="604" spans="1:19" s="62" customFormat="1">
      <c r="A604" s="1"/>
      <c r="B604" s="171"/>
      <c r="C604" s="168"/>
      <c r="D604" s="140"/>
      <c r="E604" s="168"/>
      <c r="F604" s="168"/>
      <c r="G604" s="169"/>
      <c r="H604" s="168"/>
      <c r="I604" s="141"/>
      <c r="J604" s="142"/>
      <c r="K604" s="170" t="s">
        <v>730</v>
      </c>
      <c r="L604" s="62">
        <v>2675000</v>
      </c>
      <c r="N604" s="1"/>
      <c r="O604" s="1"/>
      <c r="P604" s="1"/>
      <c r="Q604" s="1"/>
      <c r="R604" s="1"/>
      <c r="S604" s="1"/>
    </row>
    <row r="605" spans="1:19" s="62" customFormat="1" ht="37.5">
      <c r="A605" s="1"/>
      <c r="B605" s="171" t="s">
        <v>134</v>
      </c>
      <c r="C605" s="168"/>
      <c r="D605" s="140"/>
      <c r="E605" s="168">
        <v>2.9</v>
      </c>
      <c r="F605" s="168"/>
      <c r="G605" s="169"/>
      <c r="H605" s="168">
        <v>2.9</v>
      </c>
      <c r="I605" s="141">
        <f t="shared" si="18"/>
        <v>0</v>
      </c>
      <c r="J605" s="142">
        <f t="shared" si="19"/>
        <v>0</v>
      </c>
      <c r="K605" s="167" t="s">
        <v>731</v>
      </c>
      <c r="N605" s="1"/>
      <c r="O605" s="1"/>
      <c r="P605" s="1"/>
      <c r="Q605" s="1"/>
      <c r="R605" s="1"/>
      <c r="S605" s="1"/>
    </row>
    <row r="606" spans="1:19" s="62" customFormat="1">
      <c r="A606" s="1"/>
      <c r="B606" s="171"/>
      <c r="C606" s="168"/>
      <c r="D606" s="140"/>
      <c r="E606" s="168"/>
      <c r="F606" s="168"/>
      <c r="G606" s="169"/>
      <c r="H606" s="168"/>
      <c r="I606" s="141"/>
      <c r="J606" s="142"/>
      <c r="K606" s="170"/>
      <c r="N606" s="1"/>
      <c r="O606" s="1"/>
      <c r="P606" s="1"/>
      <c r="Q606" s="1"/>
      <c r="R606" s="1"/>
      <c r="S606" s="1"/>
    </row>
    <row r="607" spans="1:19" s="62" customFormat="1" ht="37.5">
      <c r="A607" s="1"/>
      <c r="B607" s="171" t="s">
        <v>135</v>
      </c>
      <c r="C607" s="168"/>
      <c r="D607" s="140"/>
      <c r="E607" s="168">
        <v>1.9</v>
      </c>
      <c r="F607" s="168"/>
      <c r="G607" s="169"/>
      <c r="H607" s="168">
        <v>2.63</v>
      </c>
      <c r="I607" s="141">
        <f t="shared" si="18"/>
        <v>0.73</v>
      </c>
      <c r="J607" s="142">
        <f t="shared" si="19"/>
        <v>27.756653992395439</v>
      </c>
      <c r="K607" s="230" t="s">
        <v>707</v>
      </c>
      <c r="L607" s="62">
        <f>SUM(L608:L611)</f>
        <v>2630000</v>
      </c>
      <c r="N607" s="1"/>
      <c r="O607" s="1"/>
      <c r="P607" s="1"/>
      <c r="Q607" s="1"/>
      <c r="R607" s="1"/>
      <c r="S607" s="1"/>
    </row>
    <row r="608" spans="1:19" s="62" customFormat="1">
      <c r="A608" s="1"/>
      <c r="B608" s="171"/>
      <c r="C608" s="168"/>
      <c r="D608" s="140"/>
      <c r="E608" s="168"/>
      <c r="F608" s="168"/>
      <c r="G608" s="169"/>
      <c r="H608" s="168"/>
      <c r="I608" s="141"/>
      <c r="J608" s="142"/>
      <c r="K608" s="170" t="s">
        <v>688</v>
      </c>
      <c r="L608" s="62">
        <v>1250000</v>
      </c>
      <c r="N608" s="1"/>
      <c r="O608" s="1"/>
      <c r="P608" s="1"/>
      <c r="Q608" s="1"/>
      <c r="R608" s="1"/>
      <c r="S608" s="1"/>
    </row>
    <row r="609" spans="1:19" s="62" customFormat="1">
      <c r="A609" s="1"/>
      <c r="B609" s="171"/>
      <c r="C609" s="168"/>
      <c r="D609" s="140"/>
      <c r="E609" s="168"/>
      <c r="F609" s="168"/>
      <c r="G609" s="169"/>
      <c r="H609" s="168"/>
      <c r="I609" s="141"/>
      <c r="J609" s="142"/>
      <c r="K609" s="170" t="s">
        <v>708</v>
      </c>
      <c r="L609" s="62">
        <v>200000</v>
      </c>
      <c r="N609" s="1"/>
      <c r="O609" s="1"/>
      <c r="P609" s="1"/>
      <c r="Q609" s="1"/>
      <c r="R609" s="1"/>
      <c r="S609" s="1"/>
    </row>
    <row r="610" spans="1:19" s="62" customFormat="1" ht="37.5">
      <c r="A610" s="1"/>
      <c r="B610" s="171"/>
      <c r="C610" s="168"/>
      <c r="D610" s="140"/>
      <c r="E610" s="168"/>
      <c r="F610" s="168"/>
      <c r="G610" s="169"/>
      <c r="H610" s="168"/>
      <c r="I610" s="141"/>
      <c r="J610" s="142"/>
      <c r="K610" s="174" t="s">
        <v>709</v>
      </c>
      <c r="L610" s="62">
        <v>180000</v>
      </c>
      <c r="N610" s="1"/>
      <c r="O610" s="1"/>
      <c r="P610" s="1"/>
      <c r="Q610" s="1"/>
      <c r="R610" s="1"/>
      <c r="S610" s="1"/>
    </row>
    <row r="611" spans="1:19" s="62" customFormat="1">
      <c r="A611" s="1"/>
      <c r="B611" s="171"/>
      <c r="C611" s="168"/>
      <c r="D611" s="140"/>
      <c r="E611" s="168"/>
      <c r="F611" s="168"/>
      <c r="G611" s="169"/>
      <c r="H611" s="168"/>
      <c r="I611" s="141"/>
      <c r="J611" s="142"/>
      <c r="K611" s="170" t="s">
        <v>723</v>
      </c>
      <c r="L611" s="62">
        <v>1000000</v>
      </c>
      <c r="N611" s="1"/>
      <c r="O611" s="1"/>
      <c r="P611" s="1"/>
      <c r="Q611" s="1"/>
      <c r="R611" s="1"/>
      <c r="S611" s="1"/>
    </row>
    <row r="612" spans="1:19" s="62" customFormat="1">
      <c r="A612" s="1"/>
      <c r="B612" s="171"/>
      <c r="C612" s="168"/>
      <c r="D612" s="140"/>
      <c r="E612" s="168"/>
      <c r="F612" s="168"/>
      <c r="G612" s="169"/>
      <c r="H612" s="168"/>
      <c r="I612" s="141"/>
      <c r="J612" s="142"/>
      <c r="K612" s="170"/>
      <c r="N612" s="1"/>
      <c r="O612" s="1"/>
      <c r="P612" s="1"/>
      <c r="Q612" s="1"/>
      <c r="R612" s="1"/>
      <c r="S612" s="1"/>
    </row>
    <row r="613" spans="1:19" s="62" customFormat="1">
      <c r="A613" s="1"/>
      <c r="B613" s="171" t="s">
        <v>136</v>
      </c>
      <c r="C613" s="168"/>
      <c r="D613" s="140"/>
      <c r="E613" s="168">
        <v>2.1579999999999999</v>
      </c>
      <c r="F613" s="168"/>
      <c r="G613" s="169"/>
      <c r="H613" s="168">
        <v>2.0049999999999999</v>
      </c>
      <c r="I613" s="141">
        <f t="shared" ref="I613:J672" si="20">+H613-E613</f>
        <v>-0.15300000000000002</v>
      </c>
      <c r="J613" s="142">
        <f t="shared" ref="J613:J675" si="21">+I613*100/H613</f>
        <v>-7.6309226932668341</v>
      </c>
      <c r="K613" s="170" t="s">
        <v>716</v>
      </c>
      <c r="L613" s="62">
        <f>+L614+L615</f>
        <v>2005000</v>
      </c>
      <c r="N613" s="1"/>
      <c r="O613" s="1"/>
      <c r="P613" s="1"/>
      <c r="Q613" s="1"/>
      <c r="R613" s="1"/>
      <c r="S613" s="1"/>
    </row>
    <row r="614" spans="1:19" s="62" customFormat="1">
      <c r="A614" s="1"/>
      <c r="B614" s="171"/>
      <c r="C614" s="168"/>
      <c r="D614" s="140"/>
      <c r="E614" s="168"/>
      <c r="F614" s="168"/>
      <c r="G614" s="169"/>
      <c r="H614" s="168"/>
      <c r="I614" s="141"/>
      <c r="J614" s="142"/>
      <c r="K614" s="170" t="s">
        <v>698</v>
      </c>
      <c r="L614" s="62">
        <v>1980000</v>
      </c>
      <c r="N614" s="1"/>
      <c r="O614" s="1"/>
      <c r="P614" s="1"/>
      <c r="Q614" s="1"/>
      <c r="R614" s="1"/>
      <c r="S614" s="1"/>
    </row>
    <row r="615" spans="1:19" s="62" customFormat="1">
      <c r="A615" s="1"/>
      <c r="B615" s="171"/>
      <c r="C615" s="168"/>
      <c r="D615" s="140"/>
      <c r="E615" s="168"/>
      <c r="F615" s="168"/>
      <c r="G615" s="169"/>
      <c r="H615" s="168"/>
      <c r="I615" s="141"/>
      <c r="J615" s="142"/>
      <c r="K615" s="170" t="s">
        <v>730</v>
      </c>
      <c r="L615" s="62">
        <v>25000</v>
      </c>
      <c r="N615" s="1"/>
      <c r="O615" s="1"/>
      <c r="P615" s="1"/>
      <c r="Q615" s="1"/>
      <c r="R615" s="1"/>
      <c r="S615" s="1"/>
    </row>
    <row r="616" spans="1:19" s="62" customFormat="1">
      <c r="A616" s="1"/>
      <c r="B616" s="171" t="s">
        <v>137</v>
      </c>
      <c r="C616" s="168"/>
      <c r="D616" s="140"/>
      <c r="E616" s="168">
        <v>20</v>
      </c>
      <c r="F616" s="168"/>
      <c r="G616" s="169"/>
      <c r="H616" s="168">
        <v>19.281500000000001</v>
      </c>
      <c r="I616" s="141">
        <f t="shared" si="20"/>
        <v>-0.71849999999999881</v>
      </c>
      <c r="J616" s="142">
        <f t="shared" si="21"/>
        <v>-3.7263698363716453</v>
      </c>
      <c r="K616" s="170" t="s">
        <v>712</v>
      </c>
      <c r="L616" s="62">
        <f>+L617+L618</f>
        <v>19281800</v>
      </c>
      <c r="N616" s="1"/>
      <c r="O616" s="1"/>
      <c r="P616" s="1"/>
      <c r="Q616" s="1"/>
      <c r="R616" s="1"/>
      <c r="S616" s="1"/>
    </row>
    <row r="617" spans="1:19" s="62" customFormat="1">
      <c r="A617" s="1"/>
      <c r="B617" s="171"/>
      <c r="C617" s="168"/>
      <c r="D617" s="140"/>
      <c r="E617" s="168"/>
      <c r="F617" s="168"/>
      <c r="G617" s="169"/>
      <c r="H617" s="168"/>
      <c r="I617" s="141"/>
      <c r="J617" s="142"/>
      <c r="K617" s="170" t="s">
        <v>698</v>
      </c>
      <c r="L617" s="62">
        <v>17850000</v>
      </c>
      <c r="N617" s="1"/>
      <c r="O617" s="1"/>
      <c r="P617" s="1"/>
      <c r="Q617" s="1"/>
      <c r="R617" s="1"/>
      <c r="S617" s="1"/>
    </row>
    <row r="618" spans="1:19" s="62" customFormat="1">
      <c r="A618" s="1"/>
      <c r="B618" s="171"/>
      <c r="C618" s="168"/>
      <c r="D618" s="140"/>
      <c r="E618" s="168"/>
      <c r="F618" s="168"/>
      <c r="G618" s="169"/>
      <c r="H618" s="168"/>
      <c r="I618" s="141"/>
      <c r="J618" s="142"/>
      <c r="K618" s="170" t="s">
        <v>730</v>
      </c>
      <c r="L618" s="62">
        <v>1431800</v>
      </c>
      <c r="N618" s="1"/>
      <c r="O618" s="1"/>
      <c r="P618" s="1"/>
      <c r="Q618" s="1"/>
      <c r="R618" s="1"/>
      <c r="S618" s="1"/>
    </row>
    <row r="619" spans="1:19" s="62" customFormat="1">
      <c r="A619" s="1"/>
      <c r="B619" s="171"/>
      <c r="C619" s="168"/>
      <c r="D619" s="140"/>
      <c r="E619" s="168"/>
      <c r="F619" s="168"/>
      <c r="G619" s="169"/>
      <c r="H619" s="168"/>
      <c r="I619" s="141"/>
      <c r="J619" s="142"/>
      <c r="K619" s="170"/>
      <c r="N619" s="1"/>
      <c r="O619" s="1"/>
      <c r="P619" s="1"/>
      <c r="Q619" s="1"/>
      <c r="R619" s="1"/>
      <c r="S619" s="1"/>
    </row>
    <row r="620" spans="1:19" s="62" customFormat="1">
      <c r="A620" s="1"/>
      <c r="B620" s="171" t="s">
        <v>139</v>
      </c>
      <c r="C620" s="168"/>
      <c r="D620" s="140"/>
      <c r="E620" s="168">
        <v>166.0068</v>
      </c>
      <c r="F620" s="168"/>
      <c r="G620" s="169"/>
      <c r="H620" s="168">
        <v>203.61099999999999</v>
      </c>
      <c r="I620" s="141">
        <f t="shared" si="20"/>
        <v>37.604199999999992</v>
      </c>
      <c r="J620" s="142">
        <f t="shared" si="21"/>
        <v>18.468648550422124</v>
      </c>
      <c r="K620" s="170" t="s">
        <v>713</v>
      </c>
      <c r="L620" s="62">
        <f>SUM(L621:L623)</f>
        <v>203611000</v>
      </c>
      <c r="N620" s="1"/>
      <c r="O620" s="1"/>
      <c r="P620" s="1"/>
      <c r="Q620" s="1"/>
      <c r="R620" s="1"/>
      <c r="S620" s="1"/>
    </row>
    <row r="621" spans="1:19" s="62" customFormat="1">
      <c r="A621" s="1"/>
      <c r="B621" s="171"/>
      <c r="C621" s="168"/>
      <c r="D621" s="140"/>
      <c r="E621" s="168"/>
      <c r="F621" s="168"/>
      <c r="G621" s="169"/>
      <c r="H621" s="168"/>
      <c r="I621" s="141"/>
      <c r="J621" s="142"/>
      <c r="K621" s="170" t="s">
        <v>714</v>
      </c>
      <c r="L621" s="62">
        <v>193161000</v>
      </c>
      <c r="N621" s="1"/>
      <c r="O621" s="1"/>
      <c r="P621" s="1"/>
      <c r="Q621" s="1"/>
      <c r="R621" s="1"/>
      <c r="S621" s="1"/>
    </row>
    <row r="622" spans="1:19" s="62" customFormat="1">
      <c r="A622" s="1"/>
      <c r="B622" s="171"/>
      <c r="C622" s="168"/>
      <c r="D622" s="140"/>
      <c r="E622" s="168"/>
      <c r="F622" s="168"/>
      <c r="G622" s="169"/>
      <c r="H622" s="168"/>
      <c r="I622" s="141"/>
      <c r="J622" s="142"/>
      <c r="K622" s="170" t="s">
        <v>723</v>
      </c>
      <c r="L622" s="62">
        <v>6684000</v>
      </c>
      <c r="N622" s="1"/>
      <c r="O622" s="1"/>
      <c r="P622" s="1"/>
      <c r="Q622" s="1"/>
      <c r="R622" s="1"/>
      <c r="S622" s="1"/>
    </row>
    <row r="623" spans="1:19" s="62" customFormat="1">
      <c r="A623" s="1"/>
      <c r="B623" s="171"/>
      <c r="C623" s="168"/>
      <c r="D623" s="140"/>
      <c r="E623" s="168"/>
      <c r="F623" s="168"/>
      <c r="G623" s="169"/>
      <c r="H623" s="168"/>
      <c r="I623" s="141"/>
      <c r="J623" s="142"/>
      <c r="K623" s="170" t="s">
        <v>730</v>
      </c>
      <c r="L623" s="62">
        <v>3766000</v>
      </c>
      <c r="N623" s="1"/>
      <c r="O623" s="1"/>
      <c r="P623" s="1"/>
      <c r="Q623" s="1"/>
      <c r="R623" s="1"/>
      <c r="S623" s="1"/>
    </row>
    <row r="624" spans="1:19" s="62" customFormat="1">
      <c r="A624" s="1"/>
      <c r="B624" s="171"/>
      <c r="C624" s="168"/>
      <c r="D624" s="140"/>
      <c r="E624" s="168"/>
      <c r="F624" s="168"/>
      <c r="G624" s="169"/>
      <c r="H624" s="168"/>
      <c r="I624" s="141"/>
      <c r="J624" s="142"/>
      <c r="K624" s="170"/>
      <c r="N624" s="1"/>
      <c r="O624" s="1"/>
      <c r="P624" s="1"/>
      <c r="Q624" s="1"/>
      <c r="R624" s="1"/>
      <c r="S624" s="1"/>
    </row>
    <row r="625" spans="1:19" s="62" customFormat="1">
      <c r="A625" s="1"/>
      <c r="B625" s="171" t="s">
        <v>140</v>
      </c>
      <c r="C625" s="168"/>
      <c r="D625" s="140"/>
      <c r="E625" s="168">
        <v>2.5</v>
      </c>
      <c r="F625" s="168"/>
      <c r="G625" s="169"/>
      <c r="H625" s="168">
        <v>5.8</v>
      </c>
      <c r="I625" s="141">
        <f t="shared" si="20"/>
        <v>3.3</v>
      </c>
      <c r="J625" s="142">
        <f t="shared" si="21"/>
        <v>56.896551724137936</v>
      </c>
      <c r="K625" s="170" t="s">
        <v>715</v>
      </c>
      <c r="N625" s="1"/>
      <c r="O625" s="1"/>
      <c r="P625" s="1"/>
      <c r="Q625" s="1"/>
      <c r="R625" s="1"/>
      <c r="S625" s="1"/>
    </row>
    <row r="626" spans="1:19" s="62" customFormat="1">
      <c r="A626" s="1"/>
      <c r="B626" s="171"/>
      <c r="C626" s="168"/>
      <c r="D626" s="140"/>
      <c r="E626" s="168"/>
      <c r="F626" s="168"/>
      <c r="G626" s="169"/>
      <c r="H626" s="168"/>
      <c r="I626" s="141"/>
      <c r="J626" s="142"/>
      <c r="K626" s="170" t="s">
        <v>732</v>
      </c>
      <c r="L626" s="62">
        <v>5800000</v>
      </c>
      <c r="N626" s="1"/>
      <c r="O626" s="1"/>
      <c r="P626" s="1"/>
      <c r="Q626" s="1"/>
      <c r="R626" s="1"/>
      <c r="S626" s="1"/>
    </row>
    <row r="627" spans="1:19" s="62" customFormat="1">
      <c r="A627" s="1"/>
      <c r="B627" s="171"/>
      <c r="C627" s="168"/>
      <c r="D627" s="140"/>
      <c r="E627" s="168"/>
      <c r="F627" s="168"/>
      <c r="G627" s="169"/>
      <c r="H627" s="168"/>
      <c r="I627" s="141"/>
      <c r="J627" s="142"/>
      <c r="K627" s="170"/>
      <c r="N627" s="1"/>
      <c r="O627" s="1"/>
      <c r="P627" s="1"/>
      <c r="Q627" s="1"/>
      <c r="R627" s="1"/>
      <c r="S627" s="1"/>
    </row>
    <row r="628" spans="1:19" s="62" customFormat="1">
      <c r="A628" s="1"/>
      <c r="B628" s="171"/>
      <c r="C628" s="168"/>
      <c r="D628" s="140"/>
      <c r="E628" s="168"/>
      <c r="F628" s="168"/>
      <c r="G628" s="169"/>
      <c r="H628" s="168"/>
      <c r="I628" s="141"/>
      <c r="J628" s="142"/>
      <c r="K628" s="170"/>
      <c r="N628" s="1"/>
      <c r="O628" s="1"/>
      <c r="P628" s="1"/>
      <c r="Q628" s="1"/>
      <c r="R628" s="1"/>
      <c r="S628" s="1"/>
    </row>
    <row r="629" spans="1:19" s="62" customFormat="1" ht="37.5">
      <c r="A629" s="1"/>
      <c r="B629" s="171" t="s">
        <v>141</v>
      </c>
      <c r="C629" s="168"/>
      <c r="D629" s="140"/>
      <c r="E629" s="168">
        <v>2</v>
      </c>
      <c r="F629" s="168"/>
      <c r="G629" s="169"/>
      <c r="H629" s="168">
        <v>0.9</v>
      </c>
      <c r="I629" s="141">
        <f t="shared" si="20"/>
        <v>-1.1000000000000001</v>
      </c>
      <c r="J629" s="142">
        <f t="shared" si="21"/>
        <v>-122.22222222222223</v>
      </c>
      <c r="K629" s="167" t="s">
        <v>724</v>
      </c>
      <c r="L629" s="62">
        <f>SUM(L630:L631)</f>
        <v>900000</v>
      </c>
      <c r="N629" s="1"/>
      <c r="O629" s="1"/>
      <c r="P629" s="1"/>
      <c r="Q629" s="1"/>
      <c r="R629" s="1"/>
      <c r="S629" s="1"/>
    </row>
    <row r="630" spans="1:19" s="62" customFormat="1">
      <c r="A630" s="1"/>
      <c r="B630" s="171"/>
      <c r="C630" s="168"/>
      <c r="D630" s="140"/>
      <c r="E630" s="168"/>
      <c r="F630" s="168"/>
      <c r="G630" s="169"/>
      <c r="H630" s="168"/>
      <c r="I630" s="141"/>
      <c r="J630" s="142"/>
      <c r="K630" s="170" t="s">
        <v>723</v>
      </c>
      <c r="L630" s="62">
        <v>800000</v>
      </c>
      <c r="N630" s="1"/>
      <c r="O630" s="1"/>
      <c r="P630" s="1"/>
      <c r="Q630" s="1"/>
      <c r="R630" s="1"/>
      <c r="S630" s="1"/>
    </row>
    <row r="631" spans="1:19" s="62" customFormat="1">
      <c r="A631" s="1"/>
      <c r="B631" s="171"/>
      <c r="C631" s="168"/>
      <c r="D631" s="140"/>
      <c r="E631" s="168"/>
      <c r="F631" s="168"/>
      <c r="G631" s="169"/>
      <c r="H631" s="168"/>
      <c r="I631" s="141"/>
      <c r="J631" s="142"/>
      <c r="K631" s="170" t="s">
        <v>730</v>
      </c>
      <c r="L631" s="62">
        <v>100000</v>
      </c>
      <c r="N631" s="1"/>
      <c r="O631" s="1"/>
      <c r="P631" s="1"/>
      <c r="Q631" s="1"/>
      <c r="R631" s="1"/>
      <c r="S631" s="1"/>
    </row>
    <row r="632" spans="1:19" s="62" customFormat="1">
      <c r="A632" s="1"/>
      <c r="B632" s="171" t="s">
        <v>142</v>
      </c>
      <c r="C632" s="168"/>
      <c r="D632" s="140"/>
      <c r="E632" s="168">
        <v>85</v>
      </c>
      <c r="F632" s="168"/>
      <c r="G632" s="169"/>
      <c r="H632" s="168">
        <v>74.357399999999998</v>
      </c>
      <c r="I632" s="141">
        <f t="shared" si="20"/>
        <v>-10.642600000000002</v>
      </c>
      <c r="J632" s="142">
        <f t="shared" si="21"/>
        <v>-14.312765104750842</v>
      </c>
      <c r="K632" s="170" t="s">
        <v>710</v>
      </c>
      <c r="L632" s="62">
        <f>SUM(L633:L635)</f>
        <v>74357400</v>
      </c>
      <c r="N632" s="1"/>
      <c r="O632" s="1"/>
      <c r="P632" s="1"/>
      <c r="Q632" s="1"/>
      <c r="R632" s="1"/>
      <c r="S632" s="1"/>
    </row>
    <row r="633" spans="1:19" s="62" customFormat="1">
      <c r="A633" s="1"/>
      <c r="B633" s="171"/>
      <c r="C633" s="168"/>
      <c r="D633" s="140"/>
      <c r="E633" s="168"/>
      <c r="F633" s="168"/>
      <c r="G633" s="169"/>
      <c r="H633" s="168"/>
      <c r="I633" s="141"/>
      <c r="J633" s="142"/>
      <c r="K633" s="170" t="s">
        <v>711</v>
      </c>
      <c r="L633" s="62">
        <v>65424900</v>
      </c>
      <c r="N633" s="1"/>
      <c r="O633" s="1"/>
      <c r="P633" s="1"/>
      <c r="Q633" s="1"/>
      <c r="R633" s="1"/>
      <c r="S633" s="1"/>
    </row>
    <row r="634" spans="1:19" s="62" customFormat="1">
      <c r="A634" s="1"/>
      <c r="B634" s="171"/>
      <c r="C634" s="168"/>
      <c r="D634" s="140"/>
      <c r="E634" s="168"/>
      <c r="F634" s="168"/>
      <c r="G634" s="169"/>
      <c r="H634" s="168"/>
      <c r="I634" s="141"/>
      <c r="J634" s="142"/>
      <c r="K634" s="170" t="s">
        <v>723</v>
      </c>
      <c r="L634" s="62">
        <v>5464500</v>
      </c>
      <c r="N634" s="1"/>
      <c r="O634" s="1"/>
      <c r="P634" s="1"/>
      <c r="Q634" s="1"/>
      <c r="R634" s="1"/>
      <c r="S634" s="1"/>
    </row>
    <row r="635" spans="1:19" s="62" customFormat="1">
      <c r="A635" s="1"/>
      <c r="B635" s="171"/>
      <c r="C635" s="168"/>
      <c r="D635" s="140"/>
      <c r="E635" s="168"/>
      <c r="F635" s="168"/>
      <c r="G635" s="169"/>
      <c r="H635" s="168"/>
      <c r="I635" s="141"/>
      <c r="J635" s="142"/>
      <c r="K635" s="170" t="s">
        <v>730</v>
      </c>
      <c r="L635" s="62">
        <v>3468000</v>
      </c>
      <c r="N635" s="1"/>
      <c r="O635" s="1"/>
      <c r="P635" s="1"/>
      <c r="Q635" s="1"/>
      <c r="R635" s="1"/>
      <c r="S635" s="1"/>
    </row>
    <row r="636" spans="1:19" s="62" customFormat="1">
      <c r="A636" s="1"/>
      <c r="B636" s="171"/>
      <c r="C636" s="168"/>
      <c r="D636" s="140"/>
      <c r="E636" s="168"/>
      <c r="F636" s="168"/>
      <c r="G636" s="169"/>
      <c r="H636" s="168"/>
      <c r="I636" s="141"/>
      <c r="J636" s="142"/>
      <c r="K636" s="170"/>
      <c r="N636" s="1"/>
      <c r="O636" s="1"/>
      <c r="P636" s="1"/>
      <c r="Q636" s="1"/>
      <c r="R636" s="1"/>
      <c r="S636" s="1"/>
    </row>
    <row r="637" spans="1:19" s="62" customFormat="1">
      <c r="A637" s="1"/>
      <c r="B637" s="171"/>
      <c r="C637" s="168"/>
      <c r="D637" s="140"/>
      <c r="E637" s="168"/>
      <c r="F637" s="168"/>
      <c r="G637" s="169"/>
      <c r="H637" s="168"/>
      <c r="I637" s="141"/>
      <c r="J637" s="142"/>
      <c r="K637" s="170"/>
      <c r="N637" s="1"/>
      <c r="O637" s="1"/>
      <c r="P637" s="1"/>
      <c r="Q637" s="1"/>
      <c r="R637" s="1"/>
      <c r="S637" s="1"/>
    </row>
    <row r="638" spans="1:19" s="62" customFormat="1" ht="56.25">
      <c r="A638" s="1"/>
      <c r="B638" s="179" t="s">
        <v>45</v>
      </c>
      <c r="C638" s="180"/>
      <c r="D638" s="181"/>
      <c r="E638" s="180">
        <f>SUM(E639:E643)</f>
        <v>16.1556</v>
      </c>
      <c r="F638" s="180"/>
      <c r="G638" s="242"/>
      <c r="H638" s="180">
        <v>35.306399999999996</v>
      </c>
      <c r="I638" s="182">
        <f t="shared" si="20"/>
        <v>19.150799999999997</v>
      </c>
      <c r="J638" s="183">
        <f t="shared" si="21"/>
        <v>54.241723880089722</v>
      </c>
      <c r="K638" s="179" t="s">
        <v>674</v>
      </c>
      <c r="N638" s="1"/>
      <c r="O638" s="1"/>
      <c r="P638" s="1"/>
      <c r="Q638" s="1"/>
      <c r="R638" s="1"/>
      <c r="S638" s="1"/>
    </row>
    <row r="639" spans="1:19" s="62" customFormat="1">
      <c r="A639" s="1"/>
      <c r="B639" s="171" t="s">
        <v>106</v>
      </c>
      <c r="C639" s="168"/>
      <c r="D639" s="140"/>
      <c r="E639" s="168">
        <v>2</v>
      </c>
      <c r="F639" s="168"/>
      <c r="G639" s="169"/>
      <c r="H639" s="168">
        <v>3.0384000000000002</v>
      </c>
      <c r="I639" s="141">
        <f t="shared" si="20"/>
        <v>1.0384000000000002</v>
      </c>
      <c r="J639" s="142">
        <f t="shared" si="21"/>
        <v>34.175882043180621</v>
      </c>
      <c r="K639" s="170"/>
      <c r="N639" s="1"/>
      <c r="O639" s="1"/>
      <c r="P639" s="1"/>
      <c r="Q639" s="1"/>
      <c r="R639" s="1"/>
      <c r="S639" s="1"/>
    </row>
    <row r="640" spans="1:19" s="62" customFormat="1">
      <c r="A640" s="1"/>
      <c r="B640" s="171" t="s">
        <v>107</v>
      </c>
      <c r="C640" s="168"/>
      <c r="D640" s="140"/>
      <c r="E640" s="168">
        <v>4</v>
      </c>
      <c r="F640" s="168"/>
      <c r="G640" s="169"/>
      <c r="H640" s="168">
        <v>11.059200000000001</v>
      </c>
      <c r="I640" s="141">
        <f t="shared" si="20"/>
        <v>7.0592000000000006</v>
      </c>
      <c r="J640" s="142">
        <f t="shared" si="21"/>
        <v>63.831018518518519</v>
      </c>
      <c r="K640" s="170"/>
      <c r="N640" s="1"/>
      <c r="O640" s="1"/>
      <c r="P640" s="1"/>
      <c r="Q640" s="1"/>
      <c r="R640" s="1"/>
      <c r="S640" s="1"/>
    </row>
    <row r="641" spans="1:19" s="62" customFormat="1">
      <c r="A641" s="1"/>
      <c r="B641" s="171" t="s">
        <v>108</v>
      </c>
      <c r="C641" s="168"/>
      <c r="D641" s="140"/>
      <c r="E641" s="168">
        <v>0.15559999999999999</v>
      </c>
      <c r="F641" s="168"/>
      <c r="G641" s="169"/>
      <c r="H641" s="168">
        <v>0.42959999999999998</v>
      </c>
      <c r="I641" s="141">
        <f t="shared" si="20"/>
        <v>0.27400000000000002</v>
      </c>
      <c r="J641" s="142">
        <f t="shared" si="21"/>
        <v>63.780260707635016</v>
      </c>
      <c r="K641" s="170"/>
      <c r="N641" s="1"/>
      <c r="O641" s="1"/>
      <c r="P641" s="1"/>
      <c r="Q641" s="1"/>
      <c r="R641" s="1"/>
      <c r="S641" s="1"/>
    </row>
    <row r="642" spans="1:19" s="62" customFormat="1">
      <c r="A642" s="1"/>
      <c r="B642" s="171" t="s">
        <v>109</v>
      </c>
      <c r="C642" s="168"/>
      <c r="D642" s="140"/>
      <c r="E642" s="168">
        <v>10</v>
      </c>
      <c r="F642" s="168"/>
      <c r="G642" s="169"/>
      <c r="H642" s="168">
        <v>20.779199999999999</v>
      </c>
      <c r="I642" s="141">
        <f t="shared" si="20"/>
        <v>10.779199999999999</v>
      </c>
      <c r="J642" s="142">
        <f t="shared" si="21"/>
        <v>51.874951874951869</v>
      </c>
      <c r="K642" s="170"/>
      <c r="N642" s="1"/>
      <c r="O642" s="1"/>
      <c r="P642" s="1"/>
      <c r="Q642" s="1"/>
      <c r="R642" s="1"/>
      <c r="S642" s="1"/>
    </row>
    <row r="643" spans="1:19" s="62" customFormat="1">
      <c r="A643" s="1"/>
      <c r="B643" s="171" t="s">
        <v>111</v>
      </c>
      <c r="C643" s="168"/>
      <c r="D643" s="140"/>
      <c r="E643" s="168"/>
      <c r="F643" s="168"/>
      <c r="G643" s="169"/>
      <c r="H643" s="168"/>
      <c r="I643" s="141"/>
      <c r="J643" s="142"/>
      <c r="K643" s="170"/>
      <c r="N643" s="1"/>
      <c r="O643" s="1"/>
      <c r="P643" s="1"/>
      <c r="Q643" s="1"/>
      <c r="R643" s="1"/>
      <c r="S643" s="1"/>
    </row>
    <row r="644" spans="1:19" s="62" customFormat="1">
      <c r="A644" s="1"/>
      <c r="B644" s="221" t="s">
        <v>46</v>
      </c>
      <c r="C644" s="222"/>
      <c r="D644" s="223"/>
      <c r="E644" s="222">
        <f>+E645+E656</f>
        <v>68.890900000000002</v>
      </c>
      <c r="F644" s="222"/>
      <c r="G644" s="223"/>
      <c r="H644" s="222">
        <f>+H645+H656</f>
        <v>337.94839999999999</v>
      </c>
      <c r="I644" s="224">
        <f t="shared" si="20"/>
        <v>269.0575</v>
      </c>
      <c r="J644" s="225">
        <f t="shared" si="21"/>
        <v>79.614964888130856</v>
      </c>
      <c r="K644" s="226"/>
      <c r="N644" s="1"/>
      <c r="O644" s="1"/>
      <c r="P644" s="1"/>
      <c r="Q644" s="1"/>
      <c r="R644" s="1"/>
      <c r="S644" s="1"/>
    </row>
    <row r="645" spans="1:19" s="62" customFormat="1">
      <c r="A645" s="1"/>
      <c r="B645" s="179" t="s">
        <v>47</v>
      </c>
      <c r="C645" s="180"/>
      <c r="D645" s="181"/>
      <c r="E645" s="180">
        <f>+E647</f>
        <v>14.0489</v>
      </c>
      <c r="F645" s="180"/>
      <c r="G645" s="181"/>
      <c r="H645" s="180">
        <f>+H647</f>
        <v>59.3369</v>
      </c>
      <c r="I645" s="182">
        <f t="shared" si="20"/>
        <v>45.287999999999997</v>
      </c>
      <c r="J645" s="183">
        <f t="shared" si="21"/>
        <v>76.323501901851955</v>
      </c>
      <c r="K645" s="184"/>
      <c r="N645" s="1"/>
      <c r="O645" s="1"/>
      <c r="P645" s="1"/>
      <c r="Q645" s="1"/>
      <c r="R645" s="1"/>
      <c r="S645" s="1"/>
    </row>
    <row r="646" spans="1:19" s="62" customFormat="1">
      <c r="A646" s="1"/>
      <c r="B646" s="167" t="s">
        <v>19</v>
      </c>
      <c r="C646" s="168"/>
      <c r="D646" s="140"/>
      <c r="E646" s="168"/>
      <c r="F646" s="168"/>
      <c r="G646" s="169"/>
      <c r="H646" s="168"/>
      <c r="I646" s="168"/>
      <c r="J646" s="168"/>
      <c r="K646" s="170"/>
      <c r="N646" s="1"/>
      <c r="O646" s="1"/>
      <c r="P646" s="1"/>
      <c r="Q646" s="1"/>
      <c r="R646" s="1"/>
      <c r="S646" s="1"/>
    </row>
    <row r="647" spans="1:19" s="62" customFormat="1">
      <c r="A647" s="1"/>
      <c r="B647" s="216" t="s">
        <v>110</v>
      </c>
      <c r="C647" s="133"/>
      <c r="D647" s="134"/>
      <c r="E647" s="133">
        <v>14.0489</v>
      </c>
      <c r="F647" s="133"/>
      <c r="G647" s="134"/>
      <c r="H647" s="133">
        <f>+H648</f>
        <v>59.3369</v>
      </c>
      <c r="I647" s="182">
        <f t="shared" si="20"/>
        <v>45.287999999999997</v>
      </c>
      <c r="J647" s="183">
        <f t="shared" si="21"/>
        <v>76.323501901851955</v>
      </c>
      <c r="K647" s="137"/>
      <c r="N647" s="1"/>
      <c r="O647" s="1"/>
      <c r="P647" s="1"/>
      <c r="Q647" s="1"/>
      <c r="R647" s="1"/>
      <c r="S647" s="1"/>
    </row>
    <row r="648" spans="1:19" s="62" customFormat="1">
      <c r="A648" s="1"/>
      <c r="B648" s="171" t="s">
        <v>678</v>
      </c>
      <c r="C648" s="168"/>
      <c r="D648" s="140"/>
      <c r="E648" s="168"/>
      <c r="F648" s="168"/>
      <c r="G648" s="169"/>
      <c r="H648" s="168">
        <v>59.3369</v>
      </c>
      <c r="I648" s="141">
        <f t="shared" si="20"/>
        <v>59.3369</v>
      </c>
      <c r="J648" s="142">
        <f t="shared" si="21"/>
        <v>100</v>
      </c>
      <c r="K648" s="170"/>
      <c r="N648" s="1"/>
      <c r="O648" s="1"/>
      <c r="P648" s="1"/>
      <c r="Q648" s="1"/>
      <c r="R648" s="1"/>
      <c r="S648" s="1"/>
    </row>
    <row r="649" spans="1:19" s="62" customFormat="1">
      <c r="A649" s="1"/>
      <c r="B649" s="171" t="s">
        <v>18</v>
      </c>
      <c r="C649" s="168"/>
      <c r="D649" s="140"/>
      <c r="E649" s="168"/>
      <c r="F649" s="168"/>
      <c r="G649" s="169"/>
      <c r="H649" s="168"/>
      <c r="I649" s="141"/>
      <c r="J649" s="142"/>
      <c r="K649" s="170"/>
      <c r="N649" s="1"/>
      <c r="O649" s="1"/>
      <c r="P649" s="1"/>
      <c r="Q649" s="1"/>
      <c r="R649" s="1"/>
      <c r="S649" s="1"/>
    </row>
    <row r="650" spans="1:19" s="62" customFormat="1">
      <c r="A650" s="1"/>
      <c r="B650" s="167" t="s">
        <v>22</v>
      </c>
      <c r="C650" s="168"/>
      <c r="D650" s="140"/>
      <c r="E650" s="168"/>
      <c r="F650" s="168"/>
      <c r="G650" s="169"/>
      <c r="H650" s="168"/>
      <c r="I650" s="141"/>
      <c r="J650" s="142"/>
      <c r="K650" s="170"/>
      <c r="N650" s="1"/>
      <c r="O650" s="1"/>
      <c r="P650" s="1"/>
      <c r="Q650" s="1"/>
      <c r="R650" s="1"/>
      <c r="S650" s="1"/>
    </row>
    <row r="651" spans="1:19" s="62" customFormat="1">
      <c r="A651" s="1"/>
      <c r="B651" s="167" t="s">
        <v>48</v>
      </c>
      <c r="C651" s="168"/>
      <c r="D651" s="140"/>
      <c r="E651" s="168"/>
      <c r="F651" s="168"/>
      <c r="G651" s="169"/>
      <c r="H651" s="168"/>
      <c r="I651" s="141"/>
      <c r="J651" s="142"/>
      <c r="K651" s="170"/>
      <c r="N651" s="1"/>
      <c r="O651" s="1"/>
      <c r="P651" s="1"/>
      <c r="Q651" s="1"/>
      <c r="R651" s="1"/>
      <c r="S651" s="1"/>
    </row>
    <row r="652" spans="1:19" s="62" customFormat="1">
      <c r="A652" s="1"/>
      <c r="B652" s="171" t="s">
        <v>23</v>
      </c>
      <c r="C652" s="168"/>
      <c r="D652" s="140"/>
      <c r="E652" s="168"/>
      <c r="F652" s="168"/>
      <c r="G652" s="169"/>
      <c r="H652" s="168"/>
      <c r="I652" s="141"/>
      <c r="J652" s="142"/>
      <c r="K652" s="170"/>
      <c r="N652" s="1"/>
      <c r="O652" s="1"/>
      <c r="P652" s="1"/>
      <c r="Q652" s="1"/>
      <c r="R652" s="1"/>
      <c r="S652" s="1"/>
    </row>
    <row r="653" spans="1:19" s="62" customFormat="1">
      <c r="A653" s="1"/>
      <c r="B653" s="167" t="s">
        <v>20</v>
      </c>
      <c r="C653" s="168"/>
      <c r="D653" s="140"/>
      <c r="E653" s="168"/>
      <c r="F653" s="168"/>
      <c r="G653" s="169"/>
      <c r="H653" s="168"/>
      <c r="I653" s="141"/>
      <c r="J653" s="142"/>
      <c r="K653" s="170"/>
      <c r="N653" s="1"/>
      <c r="O653" s="1"/>
      <c r="P653" s="1"/>
      <c r="Q653" s="1"/>
      <c r="R653" s="1"/>
      <c r="S653" s="1"/>
    </row>
    <row r="654" spans="1:19" s="62" customFormat="1">
      <c r="A654" s="1"/>
      <c r="B654" s="167" t="s">
        <v>48</v>
      </c>
      <c r="C654" s="168"/>
      <c r="D654" s="140"/>
      <c r="E654" s="168"/>
      <c r="F654" s="168"/>
      <c r="G654" s="169"/>
      <c r="H654" s="168"/>
      <c r="I654" s="141"/>
      <c r="J654" s="142"/>
      <c r="K654" s="170"/>
      <c r="N654" s="1"/>
      <c r="O654" s="1"/>
      <c r="P654" s="1"/>
      <c r="Q654" s="1"/>
      <c r="R654" s="1"/>
      <c r="S654" s="1"/>
    </row>
    <row r="655" spans="1:19" s="62" customFormat="1">
      <c r="A655" s="1"/>
      <c r="B655" s="171" t="s">
        <v>23</v>
      </c>
      <c r="C655" s="168"/>
      <c r="D655" s="140"/>
      <c r="E655" s="168"/>
      <c r="F655" s="168"/>
      <c r="G655" s="169"/>
      <c r="H655" s="168"/>
      <c r="I655" s="141"/>
      <c r="J655" s="142"/>
      <c r="K655" s="170"/>
      <c r="N655" s="1"/>
      <c r="O655" s="1"/>
      <c r="P655" s="1"/>
      <c r="Q655" s="1"/>
      <c r="R655" s="1"/>
      <c r="S655" s="1"/>
    </row>
    <row r="656" spans="1:19" s="81" customFormat="1">
      <c r="A656" s="385"/>
      <c r="B656" s="386" t="s">
        <v>49</v>
      </c>
      <c r="C656" s="387"/>
      <c r="D656" s="388"/>
      <c r="E656" s="387">
        <f>+E658</f>
        <v>54.841999999999999</v>
      </c>
      <c r="F656" s="387"/>
      <c r="G656" s="388"/>
      <c r="H656" s="387">
        <f>+H658</f>
        <v>278.61149999999998</v>
      </c>
      <c r="I656" s="389">
        <f t="shared" si="20"/>
        <v>223.76949999999999</v>
      </c>
      <c r="J656" s="390">
        <f t="shared" si="21"/>
        <v>80.315959678620601</v>
      </c>
      <c r="K656" s="391"/>
      <c r="N656" s="385"/>
      <c r="O656" s="385"/>
      <c r="P656" s="385"/>
      <c r="Q656" s="385"/>
      <c r="R656" s="385"/>
      <c r="S656" s="385"/>
    </row>
    <row r="657" spans="1:19" s="81" customFormat="1">
      <c r="A657" s="385"/>
      <c r="B657" s="217" t="s">
        <v>19</v>
      </c>
      <c r="C657" s="392"/>
      <c r="D657" s="393"/>
      <c r="E657" s="392"/>
      <c r="F657" s="392"/>
      <c r="G657" s="394"/>
      <c r="H657" s="392"/>
      <c r="I657" s="392"/>
      <c r="J657" s="392"/>
      <c r="K657" s="218"/>
      <c r="N657" s="385"/>
      <c r="O657" s="385"/>
      <c r="P657" s="385"/>
      <c r="Q657" s="385"/>
      <c r="R657" s="385"/>
      <c r="S657" s="385"/>
    </row>
    <row r="658" spans="1:19" s="62" customFormat="1">
      <c r="A658" s="1"/>
      <c r="B658" s="216" t="s">
        <v>50</v>
      </c>
      <c r="C658" s="133"/>
      <c r="D658" s="134"/>
      <c r="E658" s="133">
        <v>54.841999999999999</v>
      </c>
      <c r="F658" s="133"/>
      <c r="G658" s="134"/>
      <c r="H658" s="133">
        <v>278.61149999999998</v>
      </c>
      <c r="I658" s="182">
        <f t="shared" si="20"/>
        <v>223.76949999999999</v>
      </c>
      <c r="J658" s="183">
        <f t="shared" si="21"/>
        <v>80.315959678620601</v>
      </c>
      <c r="K658" s="137"/>
      <c r="N658" s="1"/>
      <c r="O658" s="1"/>
      <c r="P658" s="1"/>
      <c r="Q658" s="1"/>
      <c r="R658" s="1"/>
      <c r="S658" s="1"/>
    </row>
    <row r="659" spans="1:19" s="62" customFormat="1" ht="27.75" customHeight="1">
      <c r="A659" s="16"/>
      <c r="B659" s="171" t="s">
        <v>17</v>
      </c>
      <c r="C659" s="168"/>
      <c r="D659" s="140"/>
      <c r="E659" s="168"/>
      <c r="F659" s="168"/>
      <c r="G659" s="169"/>
      <c r="H659" s="168"/>
      <c r="I659" s="141"/>
      <c r="J659" s="142"/>
      <c r="K659" s="170"/>
      <c r="N659" s="1"/>
      <c r="O659" s="1"/>
      <c r="P659" s="1"/>
      <c r="Q659" s="1"/>
      <c r="R659" s="1"/>
      <c r="S659" s="1"/>
    </row>
    <row r="660" spans="1:19" s="62" customFormat="1" ht="27.75" customHeight="1">
      <c r="A660" s="1"/>
      <c r="B660" s="171" t="s">
        <v>18</v>
      </c>
      <c r="C660" s="168"/>
      <c r="D660" s="140"/>
      <c r="E660" s="168"/>
      <c r="F660" s="168"/>
      <c r="G660" s="169"/>
      <c r="H660" s="168"/>
      <c r="I660" s="141"/>
      <c r="J660" s="142"/>
      <c r="K660" s="170"/>
      <c r="N660" s="1"/>
      <c r="O660" s="1"/>
      <c r="P660" s="1"/>
      <c r="Q660" s="1"/>
      <c r="R660" s="1"/>
      <c r="S660" s="1"/>
    </row>
    <row r="661" spans="1:19" s="62" customFormat="1">
      <c r="A661" s="1"/>
      <c r="B661" s="167" t="s">
        <v>22</v>
      </c>
      <c r="C661" s="168"/>
      <c r="D661" s="140"/>
      <c r="E661" s="168"/>
      <c r="F661" s="168"/>
      <c r="G661" s="169"/>
      <c r="H661" s="168"/>
      <c r="I661" s="141"/>
      <c r="J661" s="142"/>
      <c r="K661" s="170"/>
      <c r="N661" s="1"/>
      <c r="O661" s="1"/>
      <c r="P661" s="1"/>
      <c r="Q661" s="1"/>
      <c r="R661" s="1"/>
      <c r="S661" s="1"/>
    </row>
    <row r="662" spans="1:19" s="62" customFormat="1">
      <c r="A662" s="1"/>
      <c r="B662" s="167" t="s">
        <v>51</v>
      </c>
      <c r="C662" s="168"/>
      <c r="D662" s="140"/>
      <c r="E662" s="168"/>
      <c r="F662" s="168"/>
      <c r="G662" s="169"/>
      <c r="H662" s="168"/>
      <c r="I662" s="141"/>
      <c r="J662" s="142"/>
      <c r="K662" s="170"/>
      <c r="N662" s="1"/>
      <c r="O662" s="1"/>
      <c r="P662" s="1"/>
      <c r="Q662" s="1"/>
      <c r="R662" s="1"/>
      <c r="S662" s="1"/>
    </row>
    <row r="663" spans="1:19" s="62" customFormat="1">
      <c r="A663" s="1"/>
      <c r="B663" s="171" t="s">
        <v>23</v>
      </c>
      <c r="C663" s="168"/>
      <c r="D663" s="140"/>
      <c r="E663" s="168"/>
      <c r="F663" s="168"/>
      <c r="G663" s="169"/>
      <c r="H663" s="168"/>
      <c r="I663" s="141"/>
      <c r="J663" s="142"/>
      <c r="K663" s="170"/>
      <c r="N663" s="1"/>
      <c r="O663" s="1"/>
      <c r="P663" s="1"/>
      <c r="Q663" s="1"/>
      <c r="R663" s="1"/>
      <c r="S663" s="1"/>
    </row>
    <row r="664" spans="1:19" s="62" customFormat="1">
      <c r="A664" s="1"/>
      <c r="B664" s="167" t="s">
        <v>20</v>
      </c>
      <c r="C664" s="168"/>
      <c r="D664" s="140"/>
      <c r="E664" s="168"/>
      <c r="F664" s="168"/>
      <c r="G664" s="169"/>
      <c r="H664" s="168"/>
      <c r="I664" s="141"/>
      <c r="J664" s="142"/>
      <c r="K664" s="170"/>
      <c r="N664" s="1"/>
      <c r="O664" s="1"/>
      <c r="P664" s="1"/>
      <c r="Q664" s="1"/>
      <c r="R664" s="1"/>
      <c r="S664" s="1"/>
    </row>
    <row r="665" spans="1:19" s="62" customFormat="1">
      <c r="A665" s="1"/>
      <c r="B665" s="167" t="s">
        <v>51</v>
      </c>
      <c r="C665" s="168"/>
      <c r="D665" s="140"/>
      <c r="E665" s="168"/>
      <c r="F665" s="168"/>
      <c r="G665" s="169"/>
      <c r="H665" s="168"/>
      <c r="I665" s="141"/>
      <c r="J665" s="142"/>
      <c r="K665" s="170"/>
      <c r="N665" s="1"/>
      <c r="O665" s="1"/>
      <c r="P665" s="1"/>
      <c r="Q665" s="1"/>
      <c r="R665" s="1"/>
      <c r="S665" s="1"/>
    </row>
    <row r="666" spans="1:19" s="62" customFormat="1">
      <c r="A666" s="1"/>
      <c r="B666" s="171" t="s">
        <v>23</v>
      </c>
      <c r="C666" s="168"/>
      <c r="D666" s="140"/>
      <c r="E666" s="168"/>
      <c r="F666" s="168"/>
      <c r="G666" s="169"/>
      <c r="H666" s="168"/>
      <c r="I666" s="141"/>
      <c r="J666" s="142"/>
      <c r="K666" s="170"/>
      <c r="N666" s="1"/>
      <c r="O666" s="1"/>
      <c r="P666" s="1"/>
      <c r="Q666" s="1"/>
      <c r="R666" s="1"/>
      <c r="S666" s="1"/>
    </row>
    <row r="667" spans="1:19" s="62" customFormat="1">
      <c r="A667" s="1"/>
      <c r="B667" s="216" t="s">
        <v>53</v>
      </c>
      <c r="C667" s="133"/>
      <c r="D667" s="134"/>
      <c r="E667" s="133">
        <f>SUM(E668:E671)</f>
        <v>174.6207</v>
      </c>
      <c r="F667" s="133"/>
      <c r="G667" s="134"/>
      <c r="H667" s="133">
        <f>SUM(H668:H671)</f>
        <v>182.1</v>
      </c>
      <c r="I667" s="182">
        <f t="shared" si="20"/>
        <v>7.479299999999995</v>
      </c>
      <c r="J667" s="183">
        <f t="shared" si="21"/>
        <v>4.1072487644151536</v>
      </c>
      <c r="K667" s="137"/>
      <c r="N667" s="1"/>
      <c r="O667" s="1"/>
      <c r="P667" s="1"/>
      <c r="Q667" s="1"/>
      <c r="R667" s="1"/>
      <c r="S667" s="1"/>
    </row>
    <row r="668" spans="1:19" s="62" customFormat="1">
      <c r="A668" s="1"/>
      <c r="B668" s="167" t="s">
        <v>52</v>
      </c>
      <c r="C668" s="168"/>
      <c r="D668" s="140"/>
      <c r="E668" s="168"/>
      <c r="F668" s="168"/>
      <c r="G668" s="169"/>
      <c r="H668" s="168"/>
      <c r="I668" s="168"/>
      <c r="J668" s="168"/>
      <c r="K668" s="170"/>
      <c r="N668" s="1"/>
      <c r="O668" s="1"/>
      <c r="P668" s="1"/>
      <c r="Q668" s="1"/>
      <c r="R668" s="1"/>
      <c r="S668" s="1"/>
    </row>
    <row r="669" spans="1:19" s="62" customFormat="1" ht="37.5">
      <c r="A669" s="1"/>
      <c r="B669" s="167" t="s">
        <v>143</v>
      </c>
      <c r="C669" s="168"/>
      <c r="D669" s="140"/>
      <c r="E669" s="168">
        <v>174.6207</v>
      </c>
      <c r="F669" s="168"/>
      <c r="G669" s="169"/>
      <c r="H669" s="168">
        <v>182.1</v>
      </c>
      <c r="I669" s="141">
        <f t="shared" si="20"/>
        <v>7.479299999999995</v>
      </c>
      <c r="J669" s="142">
        <f t="shared" si="21"/>
        <v>4.1072487644151536</v>
      </c>
      <c r="K669" s="170" t="s">
        <v>679</v>
      </c>
      <c r="N669" s="1"/>
      <c r="O669" s="1"/>
      <c r="P669" s="1"/>
      <c r="Q669" s="1"/>
      <c r="R669" s="1"/>
      <c r="S669" s="1"/>
    </row>
    <row r="670" spans="1:19" s="62" customFormat="1">
      <c r="A670" s="1"/>
      <c r="B670" s="167" t="s">
        <v>55</v>
      </c>
      <c r="C670" s="168"/>
      <c r="D670" s="140"/>
      <c r="E670" s="168"/>
      <c r="F670" s="168"/>
      <c r="G670" s="169"/>
      <c r="H670" s="168"/>
      <c r="I670" s="168"/>
      <c r="J670" s="168"/>
      <c r="K670" s="170"/>
      <c r="N670" s="1"/>
      <c r="O670" s="1"/>
      <c r="P670" s="1"/>
      <c r="Q670" s="1"/>
      <c r="R670" s="1"/>
      <c r="S670" s="1"/>
    </row>
    <row r="671" spans="1:19" s="62" customFormat="1">
      <c r="A671" s="1"/>
      <c r="B671" s="167"/>
      <c r="C671" s="168"/>
      <c r="D671" s="140"/>
      <c r="E671" s="168"/>
      <c r="F671" s="168"/>
      <c r="G671" s="169"/>
      <c r="H671" s="168"/>
      <c r="I671" s="168"/>
      <c r="J671" s="168"/>
      <c r="K671" s="170"/>
      <c r="N671" s="1"/>
      <c r="O671" s="1"/>
      <c r="P671" s="1"/>
      <c r="Q671" s="1"/>
      <c r="R671" s="1"/>
      <c r="S671" s="1"/>
    </row>
    <row r="672" spans="1:19" s="62" customFormat="1">
      <c r="A672" s="1"/>
      <c r="B672" s="185" t="s">
        <v>56</v>
      </c>
      <c r="C672" s="145"/>
      <c r="D672" s="146"/>
      <c r="E672" s="145">
        <f>SUM(E673:E674)</f>
        <v>0</v>
      </c>
      <c r="F672" s="145"/>
      <c r="G672" s="146"/>
      <c r="H672" s="145">
        <f>SUM(H673:H674)</f>
        <v>0</v>
      </c>
      <c r="I672" s="147">
        <f t="shared" si="20"/>
        <v>0</v>
      </c>
      <c r="J672" s="147">
        <f t="shared" si="20"/>
        <v>0</v>
      </c>
      <c r="K672" s="149"/>
      <c r="N672" s="1"/>
      <c r="O672" s="1"/>
      <c r="P672" s="1"/>
      <c r="Q672" s="1"/>
      <c r="R672" s="1"/>
      <c r="S672" s="1"/>
    </row>
    <row r="673" spans="1:19" s="62" customFormat="1">
      <c r="A673" s="1"/>
      <c r="B673" s="167"/>
      <c r="C673" s="168"/>
      <c r="D673" s="140"/>
      <c r="E673" s="168"/>
      <c r="F673" s="168"/>
      <c r="G673" s="169"/>
      <c r="H673" s="168"/>
      <c r="I673" s="168"/>
      <c r="J673" s="168"/>
      <c r="K673" s="170"/>
      <c r="N673" s="1"/>
      <c r="O673" s="1"/>
      <c r="P673" s="1"/>
      <c r="Q673" s="1"/>
      <c r="R673" s="1"/>
      <c r="S673" s="1"/>
    </row>
    <row r="674" spans="1:19" s="62" customFormat="1">
      <c r="A674" s="1"/>
      <c r="B674" s="167"/>
      <c r="C674" s="168"/>
      <c r="D674" s="140"/>
      <c r="E674" s="168"/>
      <c r="F674" s="168"/>
      <c r="G674" s="169"/>
      <c r="H674" s="168"/>
      <c r="I674" s="168"/>
      <c r="J674" s="168"/>
      <c r="K674" s="170"/>
      <c r="N674" s="1"/>
      <c r="O674" s="1"/>
      <c r="P674" s="1"/>
      <c r="Q674" s="1"/>
      <c r="R674" s="1"/>
      <c r="S674" s="1"/>
    </row>
    <row r="675" spans="1:19" s="62" customFormat="1" ht="45" customHeight="1">
      <c r="A675" s="16"/>
      <c r="B675" s="209" t="s">
        <v>144</v>
      </c>
      <c r="C675" s="210"/>
      <c r="D675" s="211"/>
      <c r="E675" s="210">
        <f>+E677+E766+E789+E792</f>
        <v>34.324300000000001</v>
      </c>
      <c r="F675" s="210"/>
      <c r="G675" s="211"/>
      <c r="H675" s="210">
        <f>+H677+H766+H789+H792</f>
        <v>72.318600000000004</v>
      </c>
      <c r="I675" s="212">
        <f t="shared" ref="I675" si="22">+H675-E675</f>
        <v>37.994300000000003</v>
      </c>
      <c r="J675" s="213">
        <f t="shared" si="21"/>
        <v>52.537383190493181</v>
      </c>
      <c r="K675" s="214"/>
      <c r="L675" s="82"/>
      <c r="N675" s="1"/>
      <c r="O675" s="1"/>
      <c r="P675" s="1"/>
      <c r="Q675" s="1"/>
      <c r="R675" s="1"/>
      <c r="S675" s="1"/>
    </row>
    <row r="676" spans="1:19" s="62" customFormat="1" ht="27.75" customHeight="1">
      <c r="A676" s="1"/>
      <c r="B676" s="215" t="s">
        <v>94</v>
      </c>
      <c r="C676" s="168"/>
      <c r="D676" s="169"/>
      <c r="E676" s="172"/>
      <c r="F676" s="139"/>
      <c r="G676" s="140"/>
      <c r="H676" s="172"/>
      <c r="I676" s="141"/>
      <c r="J676" s="142"/>
      <c r="K676" s="143"/>
      <c r="L676" s="86"/>
      <c r="N676" s="1"/>
      <c r="O676" s="1"/>
      <c r="P676" s="1"/>
      <c r="Q676" s="1"/>
      <c r="R676" s="1"/>
      <c r="S676" s="1"/>
    </row>
    <row r="677" spans="1:19" s="62" customFormat="1">
      <c r="A677" s="1"/>
      <c r="B677" s="177" t="s">
        <v>38</v>
      </c>
      <c r="C677" s="121"/>
      <c r="D677" s="122"/>
      <c r="E677" s="121">
        <f>+E678+E760</f>
        <v>34.324300000000001</v>
      </c>
      <c r="F677" s="121"/>
      <c r="G677" s="122"/>
      <c r="H677" s="121">
        <f>+H678+H760</f>
        <v>70.918599999999998</v>
      </c>
      <c r="I677" s="123">
        <f t="shared" ref="I677:I738" si="23">+H677-E677</f>
        <v>36.594299999999997</v>
      </c>
      <c r="J677" s="124">
        <f t="shared" ref="J677:J738" si="24">+I677*100/H677</f>
        <v>51.60042640435654</v>
      </c>
      <c r="K677" s="125"/>
      <c r="N677" s="1"/>
      <c r="O677" s="1"/>
      <c r="P677" s="1"/>
      <c r="Q677" s="1"/>
      <c r="R677" s="1"/>
      <c r="S677" s="1"/>
    </row>
    <row r="678" spans="1:19" s="62" customFormat="1">
      <c r="A678" s="1"/>
      <c r="B678" s="179" t="s">
        <v>41</v>
      </c>
      <c r="C678" s="180"/>
      <c r="D678" s="181"/>
      <c r="E678" s="180">
        <f>+E679+E686+E726</f>
        <v>34.324300000000001</v>
      </c>
      <c r="F678" s="180"/>
      <c r="G678" s="181"/>
      <c r="H678" s="180">
        <f>+H679+H686+H726</f>
        <v>70.918599999999998</v>
      </c>
      <c r="I678" s="182">
        <f t="shared" si="23"/>
        <v>36.594299999999997</v>
      </c>
      <c r="J678" s="183">
        <f t="shared" si="24"/>
        <v>51.60042640435654</v>
      </c>
      <c r="K678" s="184"/>
      <c r="N678" s="1"/>
      <c r="O678" s="1"/>
      <c r="P678" s="1"/>
      <c r="Q678" s="1"/>
      <c r="R678" s="1"/>
      <c r="S678" s="1"/>
    </row>
    <row r="679" spans="1:19" s="62" customFormat="1">
      <c r="A679" s="1"/>
      <c r="B679" s="216" t="s">
        <v>42</v>
      </c>
      <c r="C679" s="133"/>
      <c r="D679" s="134"/>
      <c r="E679" s="133">
        <f>SUM(E680:E680)</f>
        <v>2</v>
      </c>
      <c r="F679" s="133"/>
      <c r="G679" s="134"/>
      <c r="H679" s="133">
        <f>SUM(H680:H680)</f>
        <v>4.8213999999999997</v>
      </c>
      <c r="I679" s="135">
        <f t="shared" si="23"/>
        <v>2.8213999999999997</v>
      </c>
      <c r="J679" s="136">
        <f t="shared" si="24"/>
        <v>58.518272700875265</v>
      </c>
      <c r="K679" s="137"/>
      <c r="N679" s="1"/>
      <c r="O679" s="1"/>
      <c r="P679" s="1"/>
      <c r="Q679" s="1"/>
      <c r="R679" s="1"/>
      <c r="S679" s="1"/>
    </row>
    <row r="680" spans="1:19" s="62" customFormat="1">
      <c r="A680" s="1"/>
      <c r="B680" s="171" t="s">
        <v>112</v>
      </c>
      <c r="C680" s="168"/>
      <c r="D680" s="140"/>
      <c r="E680" s="168">
        <v>2</v>
      </c>
      <c r="F680" s="168"/>
      <c r="G680" s="169"/>
      <c r="H680" s="168">
        <f>4.6708+0.1506</f>
        <v>4.8213999999999997</v>
      </c>
      <c r="I680" s="141">
        <f t="shared" si="23"/>
        <v>2.8213999999999997</v>
      </c>
      <c r="J680" s="142">
        <f t="shared" si="24"/>
        <v>58.518272700875265</v>
      </c>
      <c r="K680" s="167" t="s">
        <v>644</v>
      </c>
      <c r="L680" s="87">
        <f>SUM(L681:L684)</f>
        <v>4670800</v>
      </c>
      <c r="N680" s="1"/>
      <c r="O680" s="1"/>
      <c r="P680" s="1"/>
      <c r="Q680" s="1"/>
      <c r="R680" s="1"/>
      <c r="S680" s="1"/>
    </row>
    <row r="681" spans="1:19" s="62" customFormat="1" ht="56.25">
      <c r="A681" s="1"/>
      <c r="B681" s="171"/>
      <c r="C681" s="168"/>
      <c r="D681" s="140"/>
      <c r="E681" s="168"/>
      <c r="F681" s="168"/>
      <c r="G681" s="169"/>
      <c r="H681" s="168"/>
      <c r="I681" s="141"/>
      <c r="J681" s="142"/>
      <c r="K681" s="167" t="s">
        <v>645</v>
      </c>
      <c r="L681" s="62">
        <v>756000</v>
      </c>
      <c r="N681" s="1"/>
      <c r="O681" s="1"/>
      <c r="P681" s="1"/>
      <c r="Q681" s="1"/>
      <c r="R681" s="1"/>
      <c r="S681" s="1"/>
    </row>
    <row r="682" spans="1:19" s="62" customFormat="1" ht="37.5">
      <c r="A682" s="1"/>
      <c r="B682" s="171"/>
      <c r="C682" s="168"/>
      <c r="D682" s="140"/>
      <c r="E682" s="168"/>
      <c r="F682" s="168"/>
      <c r="G682" s="169"/>
      <c r="H682" s="168"/>
      <c r="I682" s="141"/>
      <c r="J682" s="142"/>
      <c r="K682" s="167" t="s">
        <v>646</v>
      </c>
      <c r="L682" s="62">
        <v>900000</v>
      </c>
      <c r="N682" s="1"/>
      <c r="O682" s="1"/>
      <c r="P682" s="1"/>
      <c r="Q682" s="1"/>
      <c r="R682" s="1"/>
      <c r="S682" s="1"/>
    </row>
    <row r="683" spans="1:19" s="62" customFormat="1" ht="37.5">
      <c r="A683" s="1"/>
      <c r="B683" s="171"/>
      <c r="C683" s="168"/>
      <c r="D683" s="140"/>
      <c r="E683" s="168"/>
      <c r="F683" s="168"/>
      <c r="G683" s="169"/>
      <c r="H683" s="168"/>
      <c r="I683" s="141"/>
      <c r="J683" s="142"/>
      <c r="K683" s="167" t="s">
        <v>652</v>
      </c>
      <c r="L683" s="62">
        <v>367200</v>
      </c>
      <c r="N683" s="1"/>
      <c r="O683" s="1"/>
      <c r="P683" s="1"/>
      <c r="Q683" s="1"/>
      <c r="R683" s="1"/>
      <c r="S683" s="1"/>
    </row>
    <row r="684" spans="1:19" s="62" customFormat="1">
      <c r="A684" s="1"/>
      <c r="B684" s="171"/>
      <c r="C684" s="168"/>
      <c r="D684" s="140"/>
      <c r="E684" s="168"/>
      <c r="F684" s="168"/>
      <c r="G684" s="169"/>
      <c r="H684" s="168"/>
      <c r="I684" s="141"/>
      <c r="J684" s="142"/>
      <c r="K684" s="167" t="s">
        <v>661</v>
      </c>
      <c r="L684" s="62">
        <v>2647600</v>
      </c>
      <c r="N684" s="1"/>
      <c r="O684" s="1"/>
      <c r="P684" s="1"/>
      <c r="Q684" s="1"/>
      <c r="R684" s="1"/>
      <c r="S684" s="1"/>
    </row>
    <row r="685" spans="1:19" s="62" customFormat="1">
      <c r="A685" s="1"/>
      <c r="B685" s="171"/>
      <c r="C685" s="168"/>
      <c r="D685" s="140"/>
      <c r="E685" s="168"/>
      <c r="F685" s="168"/>
      <c r="G685" s="169"/>
      <c r="H685" s="168"/>
      <c r="I685" s="141"/>
      <c r="J685" s="142"/>
      <c r="K685" s="167"/>
      <c r="N685" s="1"/>
      <c r="O685" s="1"/>
      <c r="P685" s="1"/>
      <c r="Q685" s="1"/>
      <c r="R685" s="1"/>
      <c r="S685" s="1"/>
    </row>
    <row r="686" spans="1:19" s="62" customFormat="1">
      <c r="A686" s="1"/>
      <c r="B686" s="216" t="s">
        <v>43</v>
      </c>
      <c r="C686" s="133"/>
      <c r="D686" s="134"/>
      <c r="E686" s="133">
        <f>SUM(E688:E713)</f>
        <v>10.8063</v>
      </c>
      <c r="F686" s="133"/>
      <c r="G686" s="134"/>
      <c r="H686" s="133">
        <f>SUM(H688:H713)</f>
        <v>29.9574</v>
      </c>
      <c r="I686" s="135">
        <f t="shared" si="23"/>
        <v>19.1511</v>
      </c>
      <c r="J686" s="136">
        <f t="shared" si="24"/>
        <v>63.927777443970434</v>
      </c>
      <c r="K686" s="137"/>
      <c r="N686" s="1"/>
      <c r="O686" s="1"/>
      <c r="P686" s="1"/>
      <c r="Q686" s="1"/>
      <c r="R686" s="1"/>
      <c r="S686" s="1"/>
    </row>
    <row r="687" spans="1:19" s="62" customFormat="1">
      <c r="A687" s="1"/>
      <c r="B687" s="167" t="s">
        <v>19</v>
      </c>
      <c r="C687" s="168"/>
      <c r="D687" s="140"/>
      <c r="E687" s="168"/>
      <c r="F687" s="168"/>
      <c r="G687" s="169"/>
      <c r="H687" s="168"/>
      <c r="I687" s="168"/>
      <c r="J687" s="168"/>
      <c r="K687" s="170"/>
      <c r="N687" s="1"/>
      <c r="O687" s="1"/>
      <c r="P687" s="1"/>
      <c r="Q687" s="1"/>
      <c r="R687" s="1"/>
      <c r="S687" s="1"/>
    </row>
    <row r="688" spans="1:19" s="62" customFormat="1">
      <c r="A688" s="1"/>
      <c r="B688" s="171" t="s">
        <v>85</v>
      </c>
      <c r="C688" s="168"/>
      <c r="D688" s="140"/>
      <c r="E688" s="168">
        <v>0.5</v>
      </c>
      <c r="F688" s="168"/>
      <c r="G688" s="169"/>
      <c r="H688" s="168">
        <v>2.3149999999999999</v>
      </c>
      <c r="I688" s="141">
        <f t="shared" si="23"/>
        <v>1.8149999999999999</v>
      </c>
      <c r="J688" s="142">
        <f t="shared" si="24"/>
        <v>78.401727861771064</v>
      </c>
      <c r="K688" s="170" t="s">
        <v>626</v>
      </c>
      <c r="L688" s="62">
        <f>SUM(L689:L693)</f>
        <v>2315400</v>
      </c>
      <c r="N688" s="1"/>
      <c r="O688" s="1"/>
      <c r="P688" s="1"/>
      <c r="Q688" s="1"/>
      <c r="R688" s="1"/>
      <c r="S688" s="1"/>
    </row>
    <row r="689" spans="1:19" s="62" customFormat="1" ht="56.25">
      <c r="A689" s="1"/>
      <c r="B689" s="171"/>
      <c r="C689" s="168"/>
      <c r="D689" s="140"/>
      <c r="E689" s="168"/>
      <c r="F689" s="168"/>
      <c r="G689" s="169"/>
      <c r="H689" s="168"/>
      <c r="I689" s="141"/>
      <c r="J689" s="142"/>
      <c r="K689" s="167" t="s">
        <v>627</v>
      </c>
      <c r="L689" s="62">
        <v>1027200</v>
      </c>
      <c r="N689" s="1"/>
      <c r="O689" s="1"/>
      <c r="P689" s="1"/>
      <c r="Q689" s="1"/>
      <c r="R689" s="1"/>
      <c r="S689" s="1"/>
    </row>
    <row r="690" spans="1:19" s="62" customFormat="1" ht="37.5">
      <c r="A690" s="1"/>
      <c r="B690" s="171"/>
      <c r="C690" s="168"/>
      <c r="D690" s="140"/>
      <c r="E690" s="168"/>
      <c r="F690" s="168"/>
      <c r="G690" s="169"/>
      <c r="H690" s="168"/>
      <c r="I690" s="141"/>
      <c r="J690" s="142"/>
      <c r="K690" s="167" t="s">
        <v>628</v>
      </c>
      <c r="N690" s="1"/>
      <c r="O690" s="1"/>
      <c r="P690" s="1"/>
      <c r="Q690" s="1"/>
      <c r="R690" s="1"/>
      <c r="S690" s="1"/>
    </row>
    <row r="691" spans="1:19" s="62" customFormat="1">
      <c r="A691" s="1"/>
      <c r="B691" s="171"/>
      <c r="C691" s="168"/>
      <c r="D691" s="140"/>
      <c r="E691" s="168"/>
      <c r="F691" s="168"/>
      <c r="G691" s="169"/>
      <c r="H691" s="168"/>
      <c r="I691" s="141"/>
      <c r="J691" s="142"/>
      <c r="K691" s="170" t="s">
        <v>639</v>
      </c>
      <c r="L691" s="62">
        <v>518400</v>
      </c>
      <c r="N691" s="1"/>
      <c r="O691" s="1"/>
      <c r="P691" s="1"/>
      <c r="Q691" s="1"/>
      <c r="R691" s="1"/>
      <c r="S691" s="1"/>
    </row>
    <row r="692" spans="1:19" s="62" customFormat="1">
      <c r="A692" s="1"/>
      <c r="B692" s="171"/>
      <c r="C692" s="168"/>
      <c r="D692" s="140"/>
      <c r="E692" s="168"/>
      <c r="F692" s="168"/>
      <c r="G692" s="169"/>
      <c r="H692" s="168"/>
      <c r="I692" s="141"/>
      <c r="J692" s="142"/>
      <c r="K692" s="170" t="s">
        <v>653</v>
      </c>
      <c r="L692" s="62">
        <v>84400</v>
      </c>
      <c r="N692" s="1"/>
      <c r="O692" s="1"/>
      <c r="P692" s="1"/>
      <c r="Q692" s="1"/>
      <c r="R692" s="1"/>
      <c r="S692" s="1"/>
    </row>
    <row r="693" spans="1:19" s="62" customFormat="1">
      <c r="A693" s="1"/>
      <c r="B693" s="171"/>
      <c r="C693" s="168"/>
      <c r="D693" s="140"/>
      <c r="E693" s="168"/>
      <c r="F693" s="168"/>
      <c r="G693" s="169"/>
      <c r="H693" s="168"/>
      <c r="I693" s="141"/>
      <c r="J693" s="142"/>
      <c r="K693" s="167" t="s">
        <v>661</v>
      </c>
      <c r="L693" s="62">
        <v>685400</v>
      </c>
      <c r="N693" s="1"/>
      <c r="O693" s="1"/>
      <c r="P693" s="1"/>
      <c r="Q693" s="1"/>
      <c r="R693" s="1"/>
      <c r="S693" s="1"/>
    </row>
    <row r="694" spans="1:19" s="62" customFormat="1">
      <c r="A694" s="1"/>
      <c r="B694" s="171" t="s">
        <v>145</v>
      </c>
      <c r="C694" s="168"/>
      <c r="D694" s="140"/>
      <c r="E694" s="168">
        <v>0.25219999999999998</v>
      </c>
      <c r="F694" s="168"/>
      <c r="G694" s="169"/>
      <c r="H694" s="168">
        <v>0.75</v>
      </c>
      <c r="I694" s="141">
        <f t="shared" si="23"/>
        <v>0.49780000000000002</v>
      </c>
      <c r="J694" s="142">
        <f t="shared" si="24"/>
        <v>66.373333333333335</v>
      </c>
      <c r="K694" s="170" t="s">
        <v>647</v>
      </c>
      <c r="N694" s="1"/>
      <c r="O694" s="1"/>
      <c r="P694" s="1"/>
      <c r="Q694" s="1"/>
      <c r="R694" s="1"/>
      <c r="S694" s="1"/>
    </row>
    <row r="695" spans="1:19" s="62" customFormat="1">
      <c r="A695" s="1"/>
      <c r="B695" s="171"/>
      <c r="C695" s="168"/>
      <c r="D695" s="140"/>
      <c r="E695" s="168"/>
      <c r="F695" s="168"/>
      <c r="G695" s="169"/>
      <c r="H695" s="168"/>
      <c r="I695" s="141"/>
      <c r="J695" s="142"/>
      <c r="K695" s="170" t="s">
        <v>648</v>
      </c>
      <c r="L695" s="62">
        <v>750000</v>
      </c>
      <c r="N695" s="1"/>
      <c r="O695" s="1"/>
      <c r="P695" s="1"/>
      <c r="Q695" s="1"/>
      <c r="R695" s="1"/>
      <c r="S695" s="1"/>
    </row>
    <row r="696" spans="1:19" s="62" customFormat="1">
      <c r="A696" s="1"/>
      <c r="B696" s="171"/>
      <c r="C696" s="168"/>
      <c r="D696" s="140"/>
      <c r="E696" s="168"/>
      <c r="F696" s="168"/>
      <c r="G696" s="169"/>
      <c r="H696" s="168"/>
      <c r="I696" s="141"/>
      <c r="J696" s="142"/>
      <c r="K696" s="170"/>
      <c r="N696" s="1"/>
      <c r="O696" s="1"/>
      <c r="P696" s="1"/>
      <c r="Q696" s="1"/>
      <c r="R696" s="1"/>
      <c r="S696" s="1"/>
    </row>
    <row r="697" spans="1:19" s="62" customFormat="1">
      <c r="A697" s="1"/>
      <c r="B697" s="171"/>
      <c r="C697" s="168"/>
      <c r="D697" s="140"/>
      <c r="E697" s="168"/>
      <c r="F697" s="168"/>
      <c r="G697" s="169"/>
      <c r="H697" s="168"/>
      <c r="I697" s="141"/>
      <c r="J697" s="142"/>
      <c r="K697" s="170"/>
      <c r="N697" s="1"/>
      <c r="O697" s="1"/>
      <c r="P697" s="1"/>
      <c r="Q697" s="1"/>
      <c r="R697" s="1"/>
      <c r="S697" s="1"/>
    </row>
    <row r="698" spans="1:19" s="62" customFormat="1">
      <c r="A698" s="1"/>
      <c r="B698" s="171" t="s">
        <v>146</v>
      </c>
      <c r="C698" s="168"/>
      <c r="D698" s="140"/>
      <c r="E698" s="168">
        <v>0.5</v>
      </c>
      <c r="F698" s="168"/>
      <c r="G698" s="169"/>
      <c r="H698" s="168"/>
      <c r="I698" s="141">
        <f t="shared" si="23"/>
        <v>-0.5</v>
      </c>
      <c r="J698" s="142">
        <v>0</v>
      </c>
      <c r="K698" s="170"/>
      <c r="N698" s="1"/>
      <c r="O698" s="1"/>
      <c r="P698" s="1"/>
      <c r="Q698" s="1"/>
      <c r="R698" s="1"/>
      <c r="S698" s="1"/>
    </row>
    <row r="699" spans="1:19" s="62" customFormat="1">
      <c r="A699" s="1"/>
      <c r="B699" s="171" t="s">
        <v>84</v>
      </c>
      <c r="C699" s="168"/>
      <c r="D699" s="140"/>
      <c r="E699" s="168">
        <v>2.5</v>
      </c>
      <c r="F699" s="168"/>
      <c r="G699" s="169"/>
      <c r="H699" s="168">
        <v>5.0385</v>
      </c>
      <c r="I699" s="141">
        <f t="shared" si="23"/>
        <v>2.5385</v>
      </c>
      <c r="J699" s="142">
        <f t="shared" si="24"/>
        <v>50.382058152227842</v>
      </c>
      <c r="K699" s="170" t="s">
        <v>669</v>
      </c>
      <c r="L699" s="87">
        <f>SUM(L700:L701)</f>
        <v>5038500</v>
      </c>
      <c r="N699" s="1"/>
      <c r="O699" s="1"/>
      <c r="P699" s="1"/>
      <c r="Q699" s="1"/>
      <c r="R699" s="1"/>
      <c r="S699" s="1"/>
    </row>
    <row r="700" spans="1:19" s="62" customFormat="1" ht="56.25">
      <c r="A700" s="1"/>
      <c r="B700" s="171"/>
      <c r="C700" s="168"/>
      <c r="D700" s="140"/>
      <c r="E700" s="168"/>
      <c r="F700" s="168"/>
      <c r="G700" s="169"/>
      <c r="H700" s="168"/>
      <c r="I700" s="141">
        <f t="shared" si="23"/>
        <v>0</v>
      </c>
      <c r="J700" s="142"/>
      <c r="K700" s="167" t="s">
        <v>629</v>
      </c>
      <c r="L700" s="62">
        <v>5000000</v>
      </c>
      <c r="N700" s="1"/>
      <c r="O700" s="1"/>
      <c r="P700" s="1"/>
      <c r="Q700" s="1"/>
      <c r="R700" s="1"/>
      <c r="S700" s="1"/>
    </row>
    <row r="701" spans="1:19" s="62" customFormat="1" ht="37.5">
      <c r="A701" s="1"/>
      <c r="B701" s="171"/>
      <c r="C701" s="168"/>
      <c r="D701" s="140"/>
      <c r="E701" s="168"/>
      <c r="F701" s="168"/>
      <c r="G701" s="169"/>
      <c r="H701" s="168"/>
      <c r="I701" s="141">
        <f t="shared" si="23"/>
        <v>0</v>
      </c>
      <c r="J701" s="142"/>
      <c r="K701" s="167" t="s">
        <v>654</v>
      </c>
      <c r="L701" s="62">
        <v>38500</v>
      </c>
      <c r="N701" s="1"/>
      <c r="O701" s="1"/>
      <c r="P701" s="1"/>
      <c r="Q701" s="1"/>
      <c r="R701" s="1"/>
      <c r="S701" s="1"/>
    </row>
    <row r="702" spans="1:19" s="62" customFormat="1">
      <c r="A702" s="1"/>
      <c r="B702" s="171"/>
      <c r="C702" s="168"/>
      <c r="D702" s="140"/>
      <c r="E702" s="168"/>
      <c r="F702" s="168"/>
      <c r="G702" s="169"/>
      <c r="H702" s="168"/>
      <c r="I702" s="141">
        <f t="shared" si="23"/>
        <v>0</v>
      </c>
      <c r="J702" s="142"/>
      <c r="K702" s="170"/>
      <c r="N702" s="1"/>
      <c r="O702" s="1"/>
      <c r="P702" s="1"/>
      <c r="Q702" s="1"/>
      <c r="R702" s="1"/>
      <c r="S702" s="1"/>
    </row>
    <row r="703" spans="1:19" s="62" customFormat="1">
      <c r="A703" s="1"/>
      <c r="B703" s="171" t="s">
        <v>132</v>
      </c>
      <c r="C703" s="168"/>
      <c r="D703" s="140"/>
      <c r="E703" s="168">
        <v>7.0541</v>
      </c>
      <c r="F703" s="168"/>
      <c r="G703" s="169"/>
      <c r="H703" s="168">
        <v>14.075200000000001</v>
      </c>
      <c r="I703" s="141">
        <f t="shared" si="23"/>
        <v>7.0211000000000006</v>
      </c>
      <c r="J703" s="142">
        <f t="shared" si="24"/>
        <v>49.882772536091849</v>
      </c>
      <c r="K703" s="170" t="s">
        <v>640</v>
      </c>
      <c r="L703" s="62">
        <f>SUM(L704:L707)</f>
        <v>14075200</v>
      </c>
      <c r="N703" s="1"/>
      <c r="O703" s="1"/>
      <c r="P703" s="1"/>
      <c r="Q703" s="1"/>
      <c r="R703" s="1"/>
      <c r="S703" s="1"/>
    </row>
    <row r="704" spans="1:19" s="62" customFormat="1" ht="56.25">
      <c r="A704" s="1"/>
      <c r="B704" s="171"/>
      <c r="C704" s="168"/>
      <c r="D704" s="140"/>
      <c r="E704" s="168"/>
      <c r="F704" s="168"/>
      <c r="G704" s="169"/>
      <c r="H704" s="168"/>
      <c r="I704" s="141"/>
      <c r="J704" s="142"/>
      <c r="K704" s="167" t="s">
        <v>641</v>
      </c>
      <c r="L704" s="62">
        <v>999000</v>
      </c>
      <c r="N704" s="1"/>
      <c r="O704" s="1"/>
      <c r="P704" s="1"/>
      <c r="Q704" s="1"/>
      <c r="R704" s="1"/>
      <c r="S704" s="1"/>
    </row>
    <row r="705" spans="1:19" s="62" customFormat="1" ht="37.5">
      <c r="A705" s="1"/>
      <c r="B705" s="171"/>
      <c r="C705" s="168"/>
      <c r="D705" s="140"/>
      <c r="E705" s="168"/>
      <c r="F705" s="168"/>
      <c r="G705" s="169"/>
      <c r="H705" s="168"/>
      <c r="I705" s="141"/>
      <c r="J705" s="142"/>
      <c r="K705" s="167" t="s">
        <v>649</v>
      </c>
      <c r="L705" s="62">
        <v>5505000</v>
      </c>
      <c r="N705" s="1"/>
      <c r="O705" s="1"/>
      <c r="P705" s="1"/>
      <c r="Q705" s="1"/>
      <c r="R705" s="1"/>
      <c r="S705" s="1"/>
    </row>
    <row r="706" spans="1:19" s="62" customFormat="1">
      <c r="A706" s="1"/>
      <c r="B706" s="171"/>
      <c r="C706" s="168"/>
      <c r="D706" s="140"/>
      <c r="E706" s="168"/>
      <c r="F706" s="168"/>
      <c r="G706" s="169"/>
      <c r="H706" s="168"/>
      <c r="I706" s="141"/>
      <c r="J706" s="142"/>
      <c r="K706" s="167" t="s">
        <v>659</v>
      </c>
      <c r="L706" s="62">
        <v>5571200</v>
      </c>
      <c r="N706" s="1"/>
      <c r="O706" s="1"/>
      <c r="P706" s="1"/>
      <c r="Q706" s="1"/>
      <c r="R706" s="1"/>
      <c r="S706" s="1"/>
    </row>
    <row r="707" spans="1:19" s="62" customFormat="1">
      <c r="A707" s="1"/>
      <c r="B707" s="171"/>
      <c r="C707" s="168"/>
      <c r="D707" s="140"/>
      <c r="E707" s="168"/>
      <c r="F707" s="168"/>
      <c r="G707" s="169"/>
      <c r="H707" s="168"/>
      <c r="I707" s="141"/>
      <c r="J707" s="142"/>
      <c r="K707" s="167" t="s">
        <v>670</v>
      </c>
      <c r="L707" s="62">
        <v>2000000</v>
      </c>
      <c r="N707" s="1"/>
      <c r="O707" s="1"/>
      <c r="P707" s="1"/>
      <c r="Q707" s="1"/>
      <c r="R707" s="1"/>
      <c r="S707" s="1"/>
    </row>
    <row r="708" spans="1:19" s="62" customFormat="1">
      <c r="A708" s="1"/>
      <c r="B708" s="171"/>
      <c r="C708" s="168"/>
      <c r="D708" s="140"/>
      <c r="E708" s="168"/>
      <c r="F708" s="168"/>
      <c r="G708" s="169"/>
      <c r="H708" s="168"/>
      <c r="I708" s="141"/>
      <c r="J708" s="142"/>
      <c r="K708" s="167"/>
      <c r="N708" s="1"/>
      <c r="O708" s="1"/>
      <c r="P708" s="1"/>
      <c r="Q708" s="1"/>
      <c r="R708" s="1"/>
      <c r="S708" s="1"/>
    </row>
    <row r="709" spans="1:19" s="62" customFormat="1">
      <c r="A709" s="1"/>
      <c r="B709" s="171" t="s">
        <v>662</v>
      </c>
      <c r="C709" s="168"/>
      <c r="D709" s="140"/>
      <c r="E709" s="168"/>
      <c r="F709" s="168"/>
      <c r="G709" s="169"/>
      <c r="H709" s="168">
        <v>3.1076000000000001</v>
      </c>
      <c r="I709" s="141">
        <f t="shared" si="23"/>
        <v>3.1076000000000001</v>
      </c>
      <c r="J709" s="142">
        <f t="shared" si="24"/>
        <v>99.999999999999986</v>
      </c>
      <c r="K709" s="170" t="s">
        <v>663</v>
      </c>
      <c r="L709" s="62">
        <v>3107600</v>
      </c>
      <c r="N709" s="1"/>
      <c r="O709" s="1"/>
      <c r="P709" s="1"/>
      <c r="Q709" s="1"/>
      <c r="R709" s="1"/>
      <c r="S709" s="1"/>
    </row>
    <row r="710" spans="1:19" s="62" customFormat="1">
      <c r="A710" s="1"/>
      <c r="B710" s="171"/>
      <c r="C710" s="168"/>
      <c r="D710" s="140"/>
      <c r="E710" s="168"/>
      <c r="F710" s="168"/>
      <c r="G710" s="169"/>
      <c r="H710" s="168"/>
      <c r="I710" s="141"/>
      <c r="J710" s="142"/>
      <c r="K710" s="170"/>
      <c r="N710" s="1"/>
      <c r="O710" s="1"/>
      <c r="P710" s="1"/>
      <c r="Q710" s="1"/>
      <c r="R710" s="1"/>
      <c r="S710" s="1"/>
    </row>
    <row r="711" spans="1:19" s="62" customFormat="1">
      <c r="A711" s="1"/>
      <c r="B711" s="171" t="s">
        <v>664</v>
      </c>
      <c r="C711" s="168"/>
      <c r="D711" s="140"/>
      <c r="E711" s="168"/>
      <c r="F711" s="168"/>
      <c r="G711" s="169"/>
      <c r="H711" s="168">
        <v>2.7991000000000001</v>
      </c>
      <c r="I711" s="141">
        <f t="shared" si="23"/>
        <v>2.7991000000000001</v>
      </c>
      <c r="J711" s="142">
        <f t="shared" si="24"/>
        <v>100</v>
      </c>
      <c r="K711" s="170" t="s">
        <v>663</v>
      </c>
      <c r="L711" s="62">
        <v>2799100</v>
      </c>
      <c r="N711" s="1"/>
      <c r="O711" s="1"/>
      <c r="P711" s="1"/>
      <c r="Q711" s="1"/>
      <c r="R711" s="1"/>
      <c r="S711" s="1"/>
    </row>
    <row r="712" spans="1:19" s="62" customFormat="1">
      <c r="A712" s="1"/>
      <c r="B712" s="171"/>
      <c r="C712" s="168"/>
      <c r="D712" s="140"/>
      <c r="E712" s="168"/>
      <c r="F712" s="168"/>
      <c r="G712" s="169"/>
      <c r="H712" s="168"/>
      <c r="I712" s="141"/>
      <c r="J712" s="142"/>
      <c r="K712" s="170"/>
      <c r="N712" s="1"/>
      <c r="O712" s="1"/>
      <c r="P712" s="1"/>
      <c r="Q712" s="1"/>
      <c r="R712" s="1"/>
      <c r="S712" s="1"/>
    </row>
    <row r="713" spans="1:19" s="62" customFormat="1" ht="75">
      <c r="A713" s="1"/>
      <c r="B713" s="167" t="s">
        <v>69</v>
      </c>
      <c r="C713" s="168"/>
      <c r="D713" s="140"/>
      <c r="E713" s="168"/>
      <c r="F713" s="168"/>
      <c r="G713" s="169"/>
      <c r="H713" s="168">
        <v>1.8720000000000001</v>
      </c>
      <c r="I713" s="141">
        <f t="shared" si="23"/>
        <v>1.8720000000000001</v>
      </c>
      <c r="J713" s="142">
        <f t="shared" si="24"/>
        <v>100</v>
      </c>
      <c r="K713" s="167" t="s">
        <v>660</v>
      </c>
      <c r="L713" s="1"/>
      <c r="N713" s="1"/>
      <c r="O713" s="1"/>
      <c r="P713" s="1"/>
      <c r="Q713" s="1"/>
      <c r="R713" s="1"/>
      <c r="S713" s="1"/>
    </row>
    <row r="714" spans="1:19" s="62" customFormat="1">
      <c r="A714" s="1"/>
      <c r="B714" s="171" t="s">
        <v>2</v>
      </c>
      <c r="C714" s="172"/>
      <c r="D714" s="173"/>
      <c r="E714" s="172"/>
      <c r="F714" s="168"/>
      <c r="G714" s="169"/>
      <c r="H714" s="172"/>
      <c r="I714" s="141"/>
      <c r="J714" s="142"/>
      <c r="K714" s="170"/>
      <c r="L714" s="62">
        <f>SUM(L716:L720)</f>
        <v>1872000</v>
      </c>
      <c r="N714" s="1"/>
      <c r="O714" s="1"/>
      <c r="P714" s="1"/>
      <c r="Q714" s="1"/>
      <c r="R714" s="1"/>
      <c r="S714" s="1"/>
    </row>
    <row r="715" spans="1:19" s="62" customFormat="1">
      <c r="A715" s="1"/>
      <c r="B715" s="171" t="s">
        <v>3</v>
      </c>
      <c r="C715" s="172"/>
      <c r="D715" s="173"/>
      <c r="E715" s="172"/>
      <c r="F715" s="168"/>
      <c r="G715" s="169"/>
      <c r="H715" s="172"/>
      <c r="I715" s="141"/>
      <c r="J715" s="142"/>
      <c r="K715" s="170"/>
      <c r="N715" s="1"/>
      <c r="O715" s="1"/>
      <c r="P715" s="1"/>
      <c r="Q715" s="1"/>
      <c r="R715" s="1"/>
      <c r="S715" s="1"/>
    </row>
    <row r="716" spans="1:19" s="62" customFormat="1" ht="37.5">
      <c r="A716" s="1"/>
      <c r="B716" s="171" t="s">
        <v>665</v>
      </c>
      <c r="C716" s="172"/>
      <c r="D716" s="173"/>
      <c r="E716" s="172"/>
      <c r="F716" s="168"/>
      <c r="G716" s="169"/>
      <c r="H716" s="172"/>
      <c r="I716" s="141"/>
      <c r="J716" s="142"/>
      <c r="K716" s="170" t="s">
        <v>655</v>
      </c>
      <c r="L716" s="62">
        <v>360000</v>
      </c>
      <c r="N716" s="1"/>
      <c r="O716" s="1"/>
      <c r="P716" s="1"/>
      <c r="Q716" s="1"/>
      <c r="R716" s="1"/>
      <c r="S716" s="1"/>
    </row>
    <row r="717" spans="1:19" s="62" customFormat="1">
      <c r="A717" s="1"/>
      <c r="B717" s="171"/>
      <c r="C717" s="172"/>
      <c r="D717" s="173"/>
      <c r="E717" s="172"/>
      <c r="F717" s="168"/>
      <c r="G717" s="169"/>
      <c r="H717" s="172"/>
      <c r="I717" s="141"/>
      <c r="J717" s="142"/>
      <c r="K717" s="170" t="s">
        <v>656</v>
      </c>
      <c r="L717" s="62">
        <v>360000</v>
      </c>
      <c r="N717" s="1"/>
      <c r="O717" s="1"/>
      <c r="P717" s="1"/>
      <c r="Q717" s="1"/>
      <c r="R717" s="1"/>
      <c r="S717" s="1"/>
    </row>
    <row r="718" spans="1:19" s="62" customFormat="1">
      <c r="A718" s="1"/>
      <c r="B718" s="171"/>
      <c r="C718" s="172"/>
      <c r="D718" s="173"/>
      <c r="E718" s="172"/>
      <c r="F718" s="168"/>
      <c r="G718" s="169"/>
      <c r="H718" s="172"/>
      <c r="I718" s="141"/>
      <c r="J718" s="142"/>
      <c r="K718" s="170" t="s">
        <v>658</v>
      </c>
      <c r="L718" s="62">
        <v>432000</v>
      </c>
      <c r="N718" s="1"/>
      <c r="O718" s="1"/>
      <c r="P718" s="1"/>
      <c r="Q718" s="1"/>
      <c r="R718" s="1"/>
      <c r="S718" s="1"/>
    </row>
    <row r="719" spans="1:19" s="62" customFormat="1">
      <c r="A719" s="1"/>
      <c r="B719" s="171"/>
      <c r="C719" s="172"/>
      <c r="D719" s="173"/>
      <c r="E719" s="172"/>
      <c r="F719" s="168"/>
      <c r="G719" s="169"/>
      <c r="H719" s="172"/>
      <c r="I719" s="141"/>
      <c r="J719" s="142"/>
      <c r="K719" s="170" t="s">
        <v>657</v>
      </c>
      <c r="L719" s="62">
        <v>360000</v>
      </c>
      <c r="N719" s="1"/>
      <c r="O719" s="1"/>
      <c r="P719" s="1"/>
      <c r="Q719" s="1"/>
      <c r="R719" s="1"/>
      <c r="S719" s="1"/>
    </row>
    <row r="720" spans="1:19" s="62" customFormat="1" ht="37.5">
      <c r="A720" s="1"/>
      <c r="B720" s="170" t="s">
        <v>666</v>
      </c>
      <c r="C720" s="172"/>
      <c r="D720" s="173"/>
      <c r="E720" s="172"/>
      <c r="F720" s="168"/>
      <c r="G720" s="169"/>
      <c r="H720" s="172"/>
      <c r="I720" s="141"/>
      <c r="J720" s="142"/>
      <c r="K720" s="167" t="s">
        <v>667</v>
      </c>
      <c r="L720" s="62">
        <v>360000</v>
      </c>
      <c r="N720" s="1"/>
      <c r="O720" s="1"/>
      <c r="P720" s="1"/>
      <c r="Q720" s="1"/>
      <c r="R720" s="1"/>
      <c r="S720" s="1"/>
    </row>
    <row r="721" spans="1:19" s="62" customFormat="1">
      <c r="A721" s="1"/>
      <c r="B721" s="171"/>
      <c r="C721" s="172"/>
      <c r="D721" s="173"/>
      <c r="E721" s="172"/>
      <c r="F721" s="168"/>
      <c r="G721" s="169"/>
      <c r="H721" s="172"/>
      <c r="I721" s="141"/>
      <c r="J721" s="142"/>
      <c r="K721" s="170"/>
      <c r="N721" s="1"/>
      <c r="O721" s="1"/>
      <c r="P721" s="1"/>
      <c r="Q721" s="1"/>
      <c r="R721" s="1"/>
      <c r="S721" s="1"/>
    </row>
    <row r="722" spans="1:19" s="62" customFormat="1">
      <c r="A722" s="1"/>
      <c r="B722" s="167" t="s">
        <v>22</v>
      </c>
      <c r="C722" s="168"/>
      <c r="D722" s="140"/>
      <c r="E722" s="168"/>
      <c r="F722" s="168"/>
      <c r="G722" s="169"/>
      <c r="H722" s="168"/>
      <c r="I722" s="141"/>
      <c r="J722" s="142"/>
      <c r="K722" s="170"/>
      <c r="N722" s="1"/>
      <c r="O722" s="1"/>
      <c r="P722" s="1"/>
      <c r="Q722" s="1"/>
      <c r="R722" s="1"/>
      <c r="S722" s="1"/>
    </row>
    <row r="723" spans="1:19" s="62" customFormat="1">
      <c r="A723" s="1"/>
      <c r="B723" s="171" t="s">
        <v>21</v>
      </c>
      <c r="C723" s="168"/>
      <c r="D723" s="140"/>
      <c r="E723" s="168"/>
      <c r="F723" s="168"/>
      <c r="G723" s="169"/>
      <c r="H723" s="168"/>
      <c r="I723" s="141"/>
      <c r="J723" s="142"/>
      <c r="K723" s="170"/>
      <c r="N723" s="1"/>
      <c r="O723" s="1"/>
      <c r="P723" s="1"/>
      <c r="Q723" s="1"/>
      <c r="R723" s="1"/>
      <c r="S723" s="1"/>
    </row>
    <row r="724" spans="1:19" s="62" customFormat="1">
      <c r="A724" s="1"/>
      <c r="B724" s="167" t="s">
        <v>20</v>
      </c>
      <c r="C724" s="168"/>
      <c r="D724" s="140"/>
      <c r="E724" s="168"/>
      <c r="F724" s="168"/>
      <c r="G724" s="169"/>
      <c r="H724" s="168"/>
      <c r="I724" s="141"/>
      <c r="J724" s="142"/>
      <c r="K724" s="167"/>
      <c r="N724" s="1"/>
      <c r="O724" s="1"/>
      <c r="P724" s="1"/>
      <c r="Q724" s="1"/>
      <c r="R724" s="1"/>
      <c r="S724" s="1"/>
    </row>
    <row r="725" spans="1:19" s="62" customFormat="1">
      <c r="A725" s="1"/>
      <c r="B725" s="171" t="s">
        <v>17</v>
      </c>
      <c r="C725" s="168"/>
      <c r="D725" s="140"/>
      <c r="E725" s="168"/>
      <c r="F725" s="168"/>
      <c r="G725" s="169"/>
      <c r="H725" s="168"/>
      <c r="I725" s="141"/>
      <c r="J725" s="142"/>
      <c r="K725" s="170"/>
      <c r="N725" s="1"/>
      <c r="O725" s="1"/>
      <c r="P725" s="1"/>
      <c r="Q725" s="1"/>
      <c r="R725" s="1"/>
      <c r="S725" s="1"/>
    </row>
    <row r="726" spans="1:19" s="62" customFormat="1">
      <c r="A726" s="1"/>
      <c r="B726" s="216" t="s">
        <v>44</v>
      </c>
      <c r="C726" s="133"/>
      <c r="D726" s="134"/>
      <c r="E726" s="133">
        <f>SUM(E727:E759)</f>
        <v>21.518000000000001</v>
      </c>
      <c r="F726" s="133"/>
      <c r="G726" s="134"/>
      <c r="H726" s="133">
        <f>SUM(H727:H759)</f>
        <v>36.139800000000001</v>
      </c>
      <c r="I726" s="135">
        <f t="shared" si="23"/>
        <v>14.6218</v>
      </c>
      <c r="J726" s="136">
        <f t="shared" si="24"/>
        <v>40.458995345851392</v>
      </c>
      <c r="K726" s="137"/>
      <c r="N726" s="1"/>
      <c r="O726" s="1"/>
      <c r="P726" s="1"/>
      <c r="Q726" s="1"/>
      <c r="R726" s="1"/>
      <c r="S726" s="1"/>
    </row>
    <row r="727" spans="1:19" s="62" customFormat="1">
      <c r="A727" s="1"/>
      <c r="B727" s="171" t="s">
        <v>90</v>
      </c>
      <c r="C727" s="168"/>
      <c r="D727" s="140"/>
      <c r="E727" s="168">
        <v>0.80300000000000005</v>
      </c>
      <c r="F727" s="168"/>
      <c r="G727" s="169"/>
      <c r="H727" s="168">
        <v>4.5170000000000003</v>
      </c>
      <c r="I727" s="141">
        <f t="shared" si="23"/>
        <v>3.7140000000000004</v>
      </c>
      <c r="J727" s="142">
        <f t="shared" si="24"/>
        <v>82.222714190834623</v>
      </c>
      <c r="K727" s="170" t="s">
        <v>630</v>
      </c>
      <c r="L727" s="62">
        <f>SUM(L728:L731)</f>
        <v>4517000</v>
      </c>
      <c r="N727" s="1"/>
      <c r="O727" s="1"/>
      <c r="P727" s="1"/>
      <c r="Q727" s="1"/>
      <c r="R727" s="1"/>
      <c r="S727" s="1"/>
    </row>
    <row r="728" spans="1:19" s="62" customFormat="1">
      <c r="A728" s="1"/>
      <c r="B728" s="171"/>
      <c r="C728" s="168"/>
      <c r="D728" s="140"/>
      <c r="E728" s="168"/>
      <c r="F728" s="168"/>
      <c r="G728" s="169"/>
      <c r="H728" s="168"/>
      <c r="I728" s="141"/>
      <c r="J728" s="142"/>
      <c r="K728" s="170" t="s">
        <v>631</v>
      </c>
      <c r="L728" s="62">
        <v>1000000</v>
      </c>
      <c r="N728" s="1"/>
      <c r="O728" s="1"/>
      <c r="P728" s="1"/>
      <c r="Q728" s="1"/>
      <c r="R728" s="1"/>
      <c r="S728" s="1"/>
    </row>
    <row r="729" spans="1:19" s="62" customFormat="1">
      <c r="A729" s="1"/>
      <c r="B729" s="171"/>
      <c r="C729" s="168"/>
      <c r="D729" s="140"/>
      <c r="E729" s="168"/>
      <c r="F729" s="168"/>
      <c r="G729" s="169"/>
      <c r="H729" s="168"/>
      <c r="I729" s="141"/>
      <c r="J729" s="142"/>
      <c r="K729" s="170" t="s">
        <v>642</v>
      </c>
      <c r="L729" s="62">
        <v>450000</v>
      </c>
      <c r="N729" s="1"/>
      <c r="O729" s="1"/>
      <c r="P729" s="1"/>
      <c r="Q729" s="1"/>
      <c r="R729" s="1"/>
      <c r="S729" s="1"/>
    </row>
    <row r="730" spans="1:19" s="62" customFormat="1">
      <c r="A730" s="1"/>
      <c r="B730" s="171"/>
      <c r="C730" s="168"/>
      <c r="D730" s="140"/>
      <c r="E730" s="168"/>
      <c r="F730" s="168"/>
      <c r="G730" s="169"/>
      <c r="H730" s="168"/>
      <c r="I730" s="141"/>
      <c r="J730" s="142"/>
      <c r="K730" s="167" t="s">
        <v>659</v>
      </c>
      <c r="L730" s="62">
        <v>100000</v>
      </c>
      <c r="N730" s="1"/>
      <c r="O730" s="1"/>
      <c r="P730" s="1"/>
      <c r="Q730" s="1"/>
      <c r="R730" s="1"/>
      <c r="S730" s="1"/>
    </row>
    <row r="731" spans="1:19" s="62" customFormat="1">
      <c r="A731" s="1"/>
      <c r="B731" s="171"/>
      <c r="C731" s="168"/>
      <c r="D731" s="140"/>
      <c r="E731" s="168"/>
      <c r="F731" s="168"/>
      <c r="G731" s="169"/>
      <c r="H731" s="168"/>
      <c r="I731" s="141"/>
      <c r="J731" s="142"/>
      <c r="K731" s="170" t="s">
        <v>668</v>
      </c>
      <c r="L731" s="62">
        <v>2967000</v>
      </c>
      <c r="N731" s="1"/>
      <c r="O731" s="1"/>
      <c r="P731" s="1"/>
      <c r="Q731" s="1"/>
      <c r="R731" s="1"/>
      <c r="S731" s="1"/>
    </row>
    <row r="732" spans="1:19" s="62" customFormat="1" ht="37.5">
      <c r="A732" s="1"/>
      <c r="B732" s="171" t="s">
        <v>91</v>
      </c>
      <c r="C732" s="168"/>
      <c r="D732" s="140"/>
      <c r="E732" s="168">
        <v>0.95269999999999999</v>
      </c>
      <c r="F732" s="168"/>
      <c r="G732" s="169"/>
      <c r="H732" s="168">
        <v>5.15</v>
      </c>
      <c r="I732" s="141">
        <f t="shared" si="23"/>
        <v>4.1973000000000003</v>
      </c>
      <c r="J732" s="142">
        <f t="shared" si="24"/>
        <v>81.5009708737864</v>
      </c>
      <c r="K732" s="243" t="s">
        <v>632</v>
      </c>
      <c r="L732" s="62">
        <f>SUM(L733:L734)</f>
        <v>5150000</v>
      </c>
      <c r="N732" s="1"/>
      <c r="O732" s="1"/>
      <c r="P732" s="1"/>
      <c r="Q732" s="1"/>
      <c r="R732" s="1"/>
      <c r="S732" s="1"/>
    </row>
    <row r="733" spans="1:19" s="62" customFormat="1">
      <c r="A733" s="1"/>
      <c r="B733" s="171"/>
      <c r="C733" s="168"/>
      <c r="D733" s="140"/>
      <c r="E733" s="168"/>
      <c r="F733" s="168"/>
      <c r="G733" s="169"/>
      <c r="H733" s="168"/>
      <c r="I733" s="141"/>
      <c r="J733" s="142"/>
      <c r="K733" s="243" t="s">
        <v>631</v>
      </c>
      <c r="L733" s="62">
        <v>4400000</v>
      </c>
      <c r="N733" s="1"/>
      <c r="O733" s="1"/>
      <c r="P733" s="1"/>
      <c r="Q733" s="1"/>
      <c r="R733" s="1"/>
      <c r="S733" s="1"/>
    </row>
    <row r="734" spans="1:19" s="62" customFormat="1">
      <c r="A734" s="1"/>
      <c r="B734" s="171"/>
      <c r="C734" s="168"/>
      <c r="D734" s="140"/>
      <c r="E734" s="168"/>
      <c r="F734" s="168"/>
      <c r="G734" s="169"/>
      <c r="H734" s="168"/>
      <c r="I734" s="141"/>
      <c r="J734" s="142"/>
      <c r="K734" s="243" t="s">
        <v>650</v>
      </c>
      <c r="L734" s="62">
        <v>750000</v>
      </c>
      <c r="N734" s="1"/>
      <c r="O734" s="1"/>
      <c r="P734" s="1"/>
      <c r="Q734" s="1"/>
      <c r="R734" s="1"/>
      <c r="S734" s="1"/>
    </row>
    <row r="735" spans="1:19" s="62" customFormat="1">
      <c r="A735" s="1"/>
      <c r="B735" s="171"/>
      <c r="C735" s="168"/>
      <c r="D735" s="140"/>
      <c r="E735" s="168"/>
      <c r="F735" s="168"/>
      <c r="G735" s="169"/>
      <c r="H735" s="168"/>
      <c r="I735" s="141"/>
      <c r="J735" s="142"/>
      <c r="K735" s="243"/>
      <c r="N735" s="1"/>
      <c r="O735" s="1"/>
      <c r="P735" s="1"/>
      <c r="Q735" s="1"/>
      <c r="R735" s="1"/>
      <c r="S735" s="1"/>
    </row>
    <row r="736" spans="1:19" s="62" customFormat="1">
      <c r="A736" s="1"/>
      <c r="B736" s="171"/>
      <c r="C736" s="168"/>
      <c r="D736" s="140"/>
      <c r="E736" s="168"/>
      <c r="F736" s="168"/>
      <c r="G736" s="169"/>
      <c r="H736" s="168"/>
      <c r="I736" s="141"/>
      <c r="J736" s="142"/>
      <c r="K736" s="243"/>
      <c r="N736" s="1"/>
      <c r="O736" s="1"/>
      <c r="P736" s="1"/>
      <c r="Q736" s="1"/>
      <c r="R736" s="1"/>
      <c r="S736" s="1"/>
    </row>
    <row r="737" spans="1:19" s="62" customFormat="1">
      <c r="A737" s="1"/>
      <c r="B737" s="171"/>
      <c r="C737" s="168"/>
      <c r="D737" s="140"/>
      <c r="E737" s="168"/>
      <c r="F737" s="168"/>
      <c r="G737" s="169"/>
      <c r="H737" s="168"/>
      <c r="I737" s="141"/>
      <c r="J737" s="142"/>
      <c r="K737" s="243"/>
      <c r="N737" s="1"/>
      <c r="O737" s="1"/>
      <c r="P737" s="1"/>
      <c r="Q737" s="1"/>
      <c r="R737" s="1"/>
      <c r="S737" s="1"/>
    </row>
    <row r="738" spans="1:19" s="62" customFormat="1" ht="56.25">
      <c r="A738" s="1"/>
      <c r="B738" s="171" t="s">
        <v>135</v>
      </c>
      <c r="C738" s="168"/>
      <c r="D738" s="140"/>
      <c r="E738" s="168">
        <v>5</v>
      </c>
      <c r="F738" s="168"/>
      <c r="G738" s="169"/>
      <c r="H738" s="168">
        <v>5.8</v>
      </c>
      <c r="I738" s="141">
        <f t="shared" si="23"/>
        <v>0.79999999999999982</v>
      </c>
      <c r="J738" s="142">
        <f t="shared" si="24"/>
        <v>13.793103448275859</v>
      </c>
      <c r="K738" s="167" t="s">
        <v>633</v>
      </c>
      <c r="N738" s="1"/>
      <c r="O738" s="1"/>
      <c r="P738" s="1"/>
      <c r="Q738" s="1"/>
      <c r="R738" s="1"/>
      <c r="S738" s="1"/>
    </row>
    <row r="739" spans="1:19" s="62" customFormat="1" ht="37.5">
      <c r="A739" s="1"/>
      <c r="B739" s="171"/>
      <c r="C739" s="168"/>
      <c r="D739" s="140"/>
      <c r="E739" s="168"/>
      <c r="F739" s="168"/>
      <c r="G739" s="169"/>
      <c r="H739" s="168"/>
      <c r="I739" s="141"/>
      <c r="J739" s="142"/>
      <c r="K739" s="243" t="s">
        <v>634</v>
      </c>
      <c r="L739" s="62">
        <v>5800000</v>
      </c>
      <c r="N739" s="1"/>
      <c r="O739" s="1"/>
      <c r="P739" s="1"/>
      <c r="Q739" s="1"/>
      <c r="R739" s="1"/>
      <c r="S739" s="1"/>
    </row>
    <row r="740" spans="1:19" s="62" customFormat="1">
      <c r="A740" s="1"/>
      <c r="B740" s="171"/>
      <c r="C740" s="168"/>
      <c r="D740" s="140"/>
      <c r="E740" s="168"/>
      <c r="F740" s="168"/>
      <c r="G740" s="169"/>
      <c r="H740" s="168"/>
      <c r="I740" s="141"/>
      <c r="J740" s="142"/>
      <c r="K740" s="170"/>
      <c r="N740" s="1"/>
      <c r="O740" s="1"/>
      <c r="P740" s="1"/>
      <c r="Q740" s="1"/>
      <c r="R740" s="1"/>
      <c r="S740" s="1"/>
    </row>
    <row r="741" spans="1:19" s="62" customFormat="1">
      <c r="A741" s="1"/>
      <c r="B741" s="171"/>
      <c r="C741" s="168"/>
      <c r="D741" s="140"/>
      <c r="E741" s="168"/>
      <c r="F741" s="168"/>
      <c r="G741" s="169"/>
      <c r="H741" s="168"/>
      <c r="I741" s="141"/>
      <c r="J741" s="142"/>
      <c r="K741" s="170"/>
      <c r="N741" s="1"/>
      <c r="O741" s="1"/>
      <c r="P741" s="1"/>
      <c r="Q741" s="1"/>
      <c r="R741" s="1"/>
      <c r="S741" s="1"/>
    </row>
    <row r="742" spans="1:19" s="62" customFormat="1">
      <c r="A742" s="1"/>
      <c r="B742" s="171"/>
      <c r="C742" s="168"/>
      <c r="D742" s="140"/>
      <c r="E742" s="168"/>
      <c r="F742" s="168"/>
      <c r="G742" s="169"/>
      <c r="H742" s="168"/>
      <c r="I742" s="141"/>
      <c r="J742" s="142"/>
      <c r="K742" s="170"/>
      <c r="N742" s="1"/>
      <c r="O742" s="1"/>
      <c r="P742" s="1"/>
      <c r="Q742" s="1"/>
      <c r="R742" s="1"/>
      <c r="S742" s="1"/>
    </row>
    <row r="743" spans="1:19" s="62" customFormat="1">
      <c r="A743" s="1"/>
      <c r="B743" s="171" t="s">
        <v>136</v>
      </c>
      <c r="C743" s="168"/>
      <c r="D743" s="140"/>
      <c r="E743" s="168">
        <v>1.89E-2</v>
      </c>
      <c r="F743" s="168"/>
      <c r="G743" s="169"/>
      <c r="H743" s="168"/>
      <c r="I743" s="141">
        <f t="shared" ref="I743:I802" si="25">+H743-E743</f>
        <v>-1.89E-2</v>
      </c>
      <c r="J743" s="142">
        <v>0</v>
      </c>
      <c r="K743" s="170"/>
      <c r="N743" s="1"/>
      <c r="O743" s="1"/>
      <c r="P743" s="1"/>
      <c r="Q743" s="1"/>
      <c r="R743" s="1"/>
      <c r="S743" s="1"/>
    </row>
    <row r="744" spans="1:19" s="62" customFormat="1" ht="56.25">
      <c r="A744" s="1"/>
      <c r="B744" s="171" t="s">
        <v>137</v>
      </c>
      <c r="C744" s="168"/>
      <c r="D744" s="140"/>
      <c r="E744" s="168">
        <v>5.0890000000000004</v>
      </c>
      <c r="F744" s="168"/>
      <c r="G744" s="169"/>
      <c r="H744" s="168">
        <v>15.234999999999999</v>
      </c>
      <c r="I744" s="141">
        <f t="shared" si="25"/>
        <v>10.145999999999999</v>
      </c>
      <c r="J744" s="142">
        <f t="shared" ref="J744:J802" si="26">+I744*100/H744</f>
        <v>66.5966524450279</v>
      </c>
      <c r="K744" s="167" t="s">
        <v>636</v>
      </c>
      <c r="L744" s="62">
        <f>SUM(L745:L749)</f>
        <v>15235000</v>
      </c>
      <c r="N744" s="1"/>
      <c r="O744" s="1"/>
      <c r="P744" s="1"/>
      <c r="Q744" s="1"/>
      <c r="R744" s="1"/>
      <c r="S744" s="1"/>
    </row>
    <row r="745" spans="1:19" s="62" customFormat="1">
      <c r="A745" s="1"/>
      <c r="B745" s="171"/>
      <c r="C745" s="168"/>
      <c r="D745" s="140"/>
      <c r="E745" s="168"/>
      <c r="F745" s="168"/>
      <c r="G745" s="169"/>
      <c r="H745" s="168"/>
      <c r="I745" s="141"/>
      <c r="J745" s="142"/>
      <c r="K745" s="170" t="s">
        <v>668</v>
      </c>
      <c r="L745" s="62">
        <v>1220000</v>
      </c>
      <c r="N745" s="1"/>
      <c r="O745" s="1"/>
      <c r="P745" s="1"/>
      <c r="Q745" s="1"/>
      <c r="R745" s="1"/>
      <c r="S745" s="1"/>
    </row>
    <row r="746" spans="1:19" s="62" customFormat="1" ht="37.5">
      <c r="A746" s="1"/>
      <c r="B746" s="171"/>
      <c r="C746" s="168"/>
      <c r="D746" s="140"/>
      <c r="E746" s="168"/>
      <c r="F746" s="168"/>
      <c r="G746" s="169"/>
      <c r="H746" s="168"/>
      <c r="I746" s="141"/>
      <c r="J746" s="142"/>
      <c r="K746" s="243" t="s">
        <v>638</v>
      </c>
      <c r="L746" s="62">
        <v>1300000</v>
      </c>
      <c r="N746" s="1"/>
      <c r="O746" s="1"/>
      <c r="P746" s="1"/>
      <c r="Q746" s="1"/>
      <c r="R746" s="1"/>
      <c r="S746" s="1"/>
    </row>
    <row r="747" spans="1:19" s="62" customFormat="1">
      <c r="A747" s="1"/>
      <c r="B747" s="171"/>
      <c r="C747" s="168"/>
      <c r="D747" s="140"/>
      <c r="E747" s="168"/>
      <c r="F747" s="168"/>
      <c r="G747" s="169"/>
      <c r="H747" s="168"/>
      <c r="I747" s="141"/>
      <c r="J747" s="142"/>
      <c r="K747" s="243" t="s">
        <v>643</v>
      </c>
      <c r="L747" s="62">
        <v>4500000</v>
      </c>
      <c r="N747" s="1"/>
      <c r="O747" s="1"/>
      <c r="P747" s="1"/>
      <c r="Q747" s="1"/>
      <c r="R747" s="1"/>
      <c r="S747" s="1"/>
    </row>
    <row r="748" spans="1:19" s="62" customFormat="1">
      <c r="A748" s="1"/>
      <c r="B748" s="171"/>
      <c r="C748" s="168"/>
      <c r="D748" s="140"/>
      <c r="E748" s="168"/>
      <c r="F748" s="168"/>
      <c r="G748" s="169"/>
      <c r="H748" s="168"/>
      <c r="I748" s="141"/>
      <c r="J748" s="142"/>
      <c r="K748" s="243" t="s">
        <v>650</v>
      </c>
      <c r="L748" s="62">
        <v>8075000</v>
      </c>
      <c r="N748" s="1"/>
      <c r="O748" s="1"/>
      <c r="P748" s="1"/>
      <c r="Q748" s="1"/>
      <c r="R748" s="1"/>
      <c r="S748" s="1"/>
    </row>
    <row r="749" spans="1:19" s="62" customFormat="1">
      <c r="A749" s="1"/>
      <c r="B749" s="171"/>
      <c r="C749" s="168"/>
      <c r="D749" s="140"/>
      <c r="E749" s="168"/>
      <c r="F749" s="168"/>
      <c r="G749" s="169"/>
      <c r="H749" s="168"/>
      <c r="I749" s="141"/>
      <c r="J749" s="142"/>
      <c r="K749" s="167" t="s">
        <v>659</v>
      </c>
      <c r="L749" s="62">
        <v>140000</v>
      </c>
      <c r="N749" s="1"/>
      <c r="O749" s="1"/>
      <c r="P749" s="1"/>
      <c r="Q749" s="1"/>
      <c r="R749" s="1"/>
      <c r="S749" s="1"/>
    </row>
    <row r="750" spans="1:19" s="62" customFormat="1">
      <c r="A750" s="1"/>
      <c r="B750" s="171"/>
      <c r="C750" s="168"/>
      <c r="D750" s="140"/>
      <c r="E750" s="168"/>
      <c r="F750" s="168"/>
      <c r="G750" s="169"/>
      <c r="H750" s="168"/>
      <c r="I750" s="141"/>
      <c r="J750" s="142"/>
      <c r="K750" s="243"/>
      <c r="N750" s="1"/>
      <c r="O750" s="1"/>
      <c r="P750" s="1"/>
      <c r="Q750" s="1"/>
      <c r="R750" s="1"/>
      <c r="S750" s="1"/>
    </row>
    <row r="751" spans="1:19" s="62" customFormat="1" ht="56.25">
      <c r="A751" s="1"/>
      <c r="B751" s="171" t="s">
        <v>147</v>
      </c>
      <c r="C751" s="168"/>
      <c r="D751" s="140"/>
      <c r="E751" s="168">
        <v>0.26500000000000001</v>
      </c>
      <c r="F751" s="168"/>
      <c r="G751" s="169"/>
      <c r="H751" s="168">
        <v>1.115</v>
      </c>
      <c r="I751" s="141">
        <f t="shared" si="25"/>
        <v>0.85</v>
      </c>
      <c r="J751" s="142">
        <f t="shared" si="26"/>
        <v>76.233183856502237</v>
      </c>
      <c r="K751" s="167" t="s">
        <v>637</v>
      </c>
      <c r="L751" s="62">
        <f>SUM(L752:L753)</f>
        <v>1115000</v>
      </c>
      <c r="N751" s="1"/>
      <c r="O751" s="1"/>
      <c r="P751" s="1"/>
      <c r="Q751" s="1"/>
      <c r="R751" s="1"/>
      <c r="S751" s="1"/>
    </row>
    <row r="752" spans="1:19" s="62" customFormat="1" ht="37.5">
      <c r="A752" s="1"/>
      <c r="B752" s="171"/>
      <c r="C752" s="168"/>
      <c r="D752" s="140"/>
      <c r="E752" s="168"/>
      <c r="F752" s="168"/>
      <c r="G752" s="169"/>
      <c r="H752" s="168"/>
      <c r="I752" s="141"/>
      <c r="J752" s="142"/>
      <c r="K752" s="243" t="s">
        <v>635</v>
      </c>
      <c r="L752" s="62">
        <v>400000</v>
      </c>
      <c r="N752" s="1"/>
      <c r="O752" s="1"/>
      <c r="P752" s="1"/>
      <c r="Q752" s="1"/>
      <c r="R752" s="1"/>
      <c r="S752" s="1"/>
    </row>
    <row r="753" spans="1:19" s="62" customFormat="1">
      <c r="A753" s="1"/>
      <c r="B753" s="171"/>
      <c r="C753" s="168"/>
      <c r="D753" s="140"/>
      <c r="E753" s="168"/>
      <c r="F753" s="168"/>
      <c r="G753" s="169"/>
      <c r="H753" s="168"/>
      <c r="I753" s="141"/>
      <c r="J753" s="142"/>
      <c r="K753" s="167" t="s">
        <v>659</v>
      </c>
      <c r="L753" s="62">
        <v>715000</v>
      </c>
      <c r="N753" s="1"/>
      <c r="O753" s="1"/>
      <c r="P753" s="1"/>
      <c r="Q753" s="1"/>
      <c r="R753" s="1"/>
      <c r="S753" s="1"/>
    </row>
    <row r="754" spans="1:19" s="62" customFormat="1">
      <c r="A754" s="1"/>
      <c r="B754" s="171" t="s">
        <v>139</v>
      </c>
      <c r="C754" s="168"/>
      <c r="D754" s="140"/>
      <c r="E754" s="168">
        <v>5.1894</v>
      </c>
      <c r="F754" s="168"/>
      <c r="G754" s="169"/>
      <c r="H754" s="168">
        <v>4.3228</v>
      </c>
      <c r="I754" s="141">
        <f t="shared" si="25"/>
        <v>-0.86660000000000004</v>
      </c>
      <c r="J754" s="142">
        <f t="shared" si="26"/>
        <v>-20.047191635051355</v>
      </c>
      <c r="K754" s="170" t="s">
        <v>651</v>
      </c>
      <c r="N754" s="1"/>
      <c r="O754" s="1"/>
      <c r="P754" s="1"/>
      <c r="Q754" s="1"/>
      <c r="R754" s="1"/>
      <c r="S754" s="1"/>
    </row>
    <row r="755" spans="1:19" s="62" customFormat="1">
      <c r="A755" s="1"/>
      <c r="B755" s="171"/>
      <c r="C755" s="168"/>
      <c r="D755" s="140"/>
      <c r="E755" s="168"/>
      <c r="F755" s="168"/>
      <c r="G755" s="169"/>
      <c r="H755" s="168"/>
      <c r="I755" s="141"/>
      <c r="J755" s="142"/>
      <c r="K755" s="243" t="s">
        <v>650</v>
      </c>
      <c r="L755" s="62">
        <v>4322800</v>
      </c>
      <c r="N755" s="1"/>
      <c r="O755" s="1"/>
      <c r="P755" s="1"/>
      <c r="Q755" s="1"/>
      <c r="R755" s="1"/>
      <c r="S755" s="1"/>
    </row>
    <row r="756" spans="1:19" s="62" customFormat="1">
      <c r="A756" s="1"/>
      <c r="B756" s="171"/>
      <c r="C756" s="168"/>
      <c r="D756" s="140"/>
      <c r="E756" s="168"/>
      <c r="F756" s="168"/>
      <c r="G756" s="169"/>
      <c r="H756" s="168"/>
      <c r="I756" s="141"/>
      <c r="J756" s="142"/>
      <c r="K756" s="170"/>
      <c r="N756" s="1"/>
      <c r="O756" s="1"/>
      <c r="P756" s="1"/>
      <c r="Q756" s="1"/>
      <c r="R756" s="1"/>
      <c r="S756" s="1"/>
    </row>
    <row r="757" spans="1:19" s="62" customFormat="1">
      <c r="A757" s="1"/>
      <c r="B757" s="171" t="s">
        <v>140</v>
      </c>
      <c r="C757" s="168"/>
      <c r="D757" s="140"/>
      <c r="E757" s="168">
        <v>0.45</v>
      </c>
      <c r="F757" s="168"/>
      <c r="G757" s="169"/>
      <c r="H757" s="168"/>
      <c r="I757" s="141">
        <f t="shared" si="25"/>
        <v>-0.45</v>
      </c>
      <c r="J757" s="142">
        <v>0</v>
      </c>
      <c r="K757" s="170"/>
      <c r="N757" s="1"/>
      <c r="O757" s="1"/>
      <c r="P757" s="1"/>
      <c r="Q757" s="1"/>
      <c r="R757" s="1"/>
      <c r="S757" s="1"/>
    </row>
    <row r="758" spans="1:19" s="62" customFormat="1">
      <c r="A758" s="1"/>
      <c r="B758" s="171" t="s">
        <v>141</v>
      </c>
      <c r="C758" s="168"/>
      <c r="D758" s="140"/>
      <c r="E758" s="168">
        <v>0.75</v>
      </c>
      <c r="F758" s="168"/>
      <c r="G758" s="169"/>
      <c r="H758" s="168"/>
      <c r="I758" s="141">
        <f t="shared" si="25"/>
        <v>-0.75</v>
      </c>
      <c r="J758" s="142">
        <v>0</v>
      </c>
      <c r="K758" s="170"/>
      <c r="N758" s="1"/>
      <c r="O758" s="1"/>
      <c r="P758" s="1"/>
      <c r="Q758" s="1"/>
      <c r="R758" s="1"/>
      <c r="S758" s="1"/>
    </row>
    <row r="759" spans="1:19" s="62" customFormat="1">
      <c r="A759" s="1"/>
      <c r="B759" s="171" t="s">
        <v>142</v>
      </c>
      <c r="C759" s="168"/>
      <c r="D759" s="140"/>
      <c r="E759" s="168">
        <v>3</v>
      </c>
      <c r="F759" s="168"/>
      <c r="G759" s="169"/>
      <c r="H759" s="168"/>
      <c r="I759" s="141">
        <f t="shared" si="25"/>
        <v>-3</v>
      </c>
      <c r="J759" s="142">
        <v>0</v>
      </c>
      <c r="K759" s="170"/>
      <c r="N759" s="1"/>
      <c r="O759" s="1"/>
      <c r="P759" s="1"/>
      <c r="Q759" s="1"/>
      <c r="R759" s="1"/>
      <c r="S759" s="1"/>
    </row>
    <row r="760" spans="1:19" s="62" customFormat="1">
      <c r="A760" s="1"/>
      <c r="B760" s="179" t="s">
        <v>45</v>
      </c>
      <c r="C760" s="180"/>
      <c r="D760" s="181"/>
      <c r="E760" s="180">
        <f>SUM(E761:E765)</f>
        <v>0</v>
      </c>
      <c r="F760" s="180"/>
      <c r="G760" s="181"/>
      <c r="H760" s="180">
        <f>SUM(H761:H765)</f>
        <v>0</v>
      </c>
      <c r="I760" s="182">
        <f t="shared" si="25"/>
        <v>0</v>
      </c>
      <c r="J760" s="183"/>
      <c r="K760" s="184"/>
      <c r="N760" s="1"/>
      <c r="O760" s="1"/>
      <c r="P760" s="1"/>
      <c r="Q760" s="1"/>
      <c r="R760" s="1"/>
      <c r="S760" s="1"/>
    </row>
    <row r="761" spans="1:19" s="62" customFormat="1">
      <c r="A761" s="1"/>
      <c r="B761" s="171" t="s">
        <v>106</v>
      </c>
      <c r="C761" s="168"/>
      <c r="D761" s="140"/>
      <c r="E761" s="168"/>
      <c r="F761" s="168"/>
      <c r="G761" s="169"/>
      <c r="H761" s="168"/>
      <c r="I761" s="141"/>
      <c r="J761" s="142"/>
      <c r="K761" s="170"/>
      <c r="N761" s="1"/>
      <c r="O761" s="1"/>
      <c r="P761" s="1"/>
      <c r="Q761" s="1"/>
      <c r="R761" s="1"/>
      <c r="S761" s="1"/>
    </row>
    <row r="762" spans="1:19" s="62" customFormat="1">
      <c r="A762" s="1"/>
      <c r="B762" s="171" t="s">
        <v>107</v>
      </c>
      <c r="C762" s="168"/>
      <c r="D762" s="140"/>
      <c r="E762" s="168"/>
      <c r="F762" s="168"/>
      <c r="G762" s="169"/>
      <c r="H762" s="168"/>
      <c r="I762" s="141"/>
      <c r="J762" s="142"/>
      <c r="K762" s="170"/>
      <c r="N762" s="1"/>
      <c r="O762" s="1"/>
      <c r="P762" s="1"/>
      <c r="Q762" s="1"/>
      <c r="R762" s="1"/>
      <c r="S762" s="1"/>
    </row>
    <row r="763" spans="1:19" s="62" customFormat="1">
      <c r="A763" s="1"/>
      <c r="B763" s="171" t="s">
        <v>108</v>
      </c>
      <c r="C763" s="168"/>
      <c r="D763" s="140"/>
      <c r="E763" s="168"/>
      <c r="F763" s="168"/>
      <c r="G763" s="169"/>
      <c r="H763" s="168"/>
      <c r="I763" s="141"/>
      <c r="J763" s="142"/>
      <c r="K763" s="170"/>
      <c r="N763" s="1"/>
      <c r="O763" s="1"/>
      <c r="P763" s="1"/>
      <c r="Q763" s="1"/>
      <c r="R763" s="1"/>
      <c r="S763" s="1"/>
    </row>
    <row r="764" spans="1:19" s="62" customFormat="1">
      <c r="A764" s="1"/>
      <c r="B764" s="171" t="s">
        <v>109</v>
      </c>
      <c r="C764" s="168"/>
      <c r="D764" s="140"/>
      <c r="E764" s="168"/>
      <c r="F764" s="168"/>
      <c r="G764" s="169"/>
      <c r="H764" s="168"/>
      <c r="I764" s="141"/>
      <c r="J764" s="142"/>
      <c r="K764" s="170"/>
      <c r="N764" s="1"/>
      <c r="O764" s="1"/>
      <c r="P764" s="1"/>
      <c r="Q764" s="1"/>
      <c r="R764" s="1"/>
      <c r="S764" s="1"/>
    </row>
    <row r="765" spans="1:19" s="62" customFormat="1">
      <c r="A765" s="1"/>
      <c r="B765" s="171" t="s">
        <v>111</v>
      </c>
      <c r="C765" s="168"/>
      <c r="D765" s="140"/>
      <c r="E765" s="168"/>
      <c r="F765" s="168"/>
      <c r="G765" s="169"/>
      <c r="H765" s="168"/>
      <c r="I765" s="141"/>
      <c r="J765" s="142"/>
      <c r="K765" s="170"/>
      <c r="N765" s="1"/>
      <c r="O765" s="1"/>
      <c r="P765" s="1"/>
      <c r="Q765" s="1"/>
      <c r="R765" s="1"/>
      <c r="S765" s="1"/>
    </row>
    <row r="766" spans="1:19" s="62" customFormat="1">
      <c r="A766" s="1"/>
      <c r="B766" s="221" t="s">
        <v>46</v>
      </c>
      <c r="C766" s="222"/>
      <c r="D766" s="223"/>
      <c r="E766" s="222">
        <f>+E767+E778</f>
        <v>0</v>
      </c>
      <c r="F766" s="222"/>
      <c r="G766" s="223"/>
      <c r="H766" s="222">
        <f>+H767+H778</f>
        <v>0</v>
      </c>
      <c r="I766" s="224"/>
      <c r="J766" s="225"/>
      <c r="K766" s="226"/>
      <c r="N766" s="1"/>
      <c r="O766" s="1"/>
      <c r="P766" s="1"/>
      <c r="Q766" s="1"/>
      <c r="R766" s="1"/>
      <c r="S766" s="1"/>
    </row>
    <row r="767" spans="1:19" s="62" customFormat="1">
      <c r="A767" s="1"/>
      <c r="B767" s="179" t="s">
        <v>47</v>
      </c>
      <c r="C767" s="180"/>
      <c r="D767" s="181"/>
      <c r="E767" s="180">
        <f>+E769</f>
        <v>0</v>
      </c>
      <c r="F767" s="180"/>
      <c r="G767" s="181"/>
      <c r="H767" s="180">
        <f>+H769</f>
        <v>0</v>
      </c>
      <c r="I767" s="182"/>
      <c r="J767" s="183"/>
      <c r="K767" s="184"/>
      <c r="N767" s="1"/>
      <c r="O767" s="1"/>
      <c r="P767" s="1"/>
      <c r="Q767" s="1"/>
      <c r="R767" s="1"/>
      <c r="S767" s="1"/>
    </row>
    <row r="768" spans="1:19" s="62" customFormat="1">
      <c r="A768" s="1"/>
      <c r="B768" s="167" t="s">
        <v>19</v>
      </c>
      <c r="C768" s="168"/>
      <c r="D768" s="140"/>
      <c r="E768" s="168"/>
      <c r="F768" s="168"/>
      <c r="G768" s="169"/>
      <c r="H768" s="168"/>
      <c r="I768" s="168"/>
      <c r="J768" s="168"/>
      <c r="K768" s="170"/>
      <c r="N768" s="1"/>
      <c r="O768" s="1"/>
      <c r="P768" s="1"/>
      <c r="Q768" s="1"/>
      <c r="R768" s="1"/>
      <c r="S768" s="1"/>
    </row>
    <row r="769" spans="1:19" s="62" customFormat="1">
      <c r="A769" s="1"/>
      <c r="B769" s="216" t="s">
        <v>110</v>
      </c>
      <c r="C769" s="133"/>
      <c r="D769" s="134"/>
      <c r="E769" s="133"/>
      <c r="F769" s="133"/>
      <c r="G769" s="134"/>
      <c r="H769" s="133"/>
      <c r="I769" s="133"/>
      <c r="J769" s="133"/>
      <c r="K769" s="137"/>
      <c r="N769" s="1"/>
      <c r="O769" s="1"/>
      <c r="P769" s="1"/>
      <c r="Q769" s="1"/>
      <c r="R769" s="1"/>
      <c r="S769" s="1"/>
    </row>
    <row r="770" spans="1:19" s="62" customFormat="1">
      <c r="A770" s="1"/>
      <c r="B770" s="171" t="s">
        <v>17</v>
      </c>
      <c r="C770" s="168"/>
      <c r="D770" s="140"/>
      <c r="E770" s="168"/>
      <c r="F770" s="168"/>
      <c r="G770" s="169"/>
      <c r="H770" s="168"/>
      <c r="I770" s="141"/>
      <c r="J770" s="142"/>
      <c r="K770" s="170"/>
      <c r="N770" s="1"/>
      <c r="O770" s="1"/>
      <c r="P770" s="1"/>
      <c r="Q770" s="1"/>
      <c r="R770" s="1"/>
      <c r="S770" s="1"/>
    </row>
    <row r="771" spans="1:19" s="62" customFormat="1">
      <c r="A771" s="1"/>
      <c r="B771" s="171" t="s">
        <v>18</v>
      </c>
      <c r="C771" s="168"/>
      <c r="D771" s="140"/>
      <c r="E771" s="168"/>
      <c r="F771" s="168"/>
      <c r="G771" s="169"/>
      <c r="H771" s="168"/>
      <c r="I771" s="141"/>
      <c r="J771" s="142"/>
      <c r="K771" s="170"/>
      <c r="N771" s="1"/>
      <c r="O771" s="1"/>
      <c r="P771" s="1"/>
      <c r="Q771" s="1"/>
      <c r="R771" s="1"/>
      <c r="S771" s="1"/>
    </row>
    <row r="772" spans="1:19" s="62" customFormat="1">
      <c r="A772" s="1"/>
      <c r="B772" s="167" t="s">
        <v>22</v>
      </c>
      <c r="C772" s="168"/>
      <c r="D772" s="140"/>
      <c r="E772" s="168"/>
      <c r="F772" s="168"/>
      <c r="G772" s="169"/>
      <c r="H772" s="168"/>
      <c r="I772" s="141"/>
      <c r="J772" s="142"/>
      <c r="K772" s="170"/>
      <c r="N772" s="1"/>
      <c r="O772" s="1"/>
      <c r="P772" s="1"/>
      <c r="Q772" s="1"/>
      <c r="R772" s="1"/>
      <c r="S772" s="1"/>
    </row>
    <row r="773" spans="1:19" s="62" customFormat="1">
      <c r="A773" s="1"/>
      <c r="B773" s="167" t="s">
        <v>48</v>
      </c>
      <c r="C773" s="168"/>
      <c r="D773" s="140"/>
      <c r="E773" s="168"/>
      <c r="F773" s="168"/>
      <c r="G773" s="169"/>
      <c r="H773" s="168"/>
      <c r="I773" s="141"/>
      <c r="J773" s="142"/>
      <c r="K773" s="170"/>
      <c r="N773" s="1"/>
      <c r="O773" s="1"/>
      <c r="P773" s="1"/>
      <c r="Q773" s="1"/>
      <c r="R773" s="1"/>
      <c r="S773" s="1"/>
    </row>
    <row r="774" spans="1:19" s="62" customFormat="1">
      <c r="A774" s="1"/>
      <c r="B774" s="171" t="s">
        <v>23</v>
      </c>
      <c r="C774" s="168"/>
      <c r="D774" s="140"/>
      <c r="E774" s="168"/>
      <c r="F774" s="168"/>
      <c r="G774" s="169"/>
      <c r="H774" s="168"/>
      <c r="I774" s="141"/>
      <c r="J774" s="142"/>
      <c r="K774" s="170"/>
      <c r="N774" s="1"/>
      <c r="O774" s="1"/>
      <c r="P774" s="1"/>
      <c r="Q774" s="1"/>
      <c r="R774" s="1"/>
      <c r="S774" s="1"/>
    </row>
    <row r="775" spans="1:19" s="62" customFormat="1">
      <c r="A775" s="1"/>
      <c r="B775" s="167" t="s">
        <v>20</v>
      </c>
      <c r="C775" s="168"/>
      <c r="D775" s="140"/>
      <c r="E775" s="168"/>
      <c r="F775" s="168"/>
      <c r="G775" s="169"/>
      <c r="H775" s="168"/>
      <c r="I775" s="141"/>
      <c r="J775" s="142"/>
      <c r="K775" s="170"/>
      <c r="N775" s="1"/>
      <c r="O775" s="1"/>
      <c r="P775" s="1"/>
      <c r="Q775" s="1"/>
      <c r="R775" s="1"/>
      <c r="S775" s="1"/>
    </row>
    <row r="776" spans="1:19" s="62" customFormat="1">
      <c r="A776" s="1"/>
      <c r="B776" s="167" t="s">
        <v>48</v>
      </c>
      <c r="C776" s="168"/>
      <c r="D776" s="140"/>
      <c r="E776" s="168"/>
      <c r="F776" s="168"/>
      <c r="G776" s="169"/>
      <c r="H776" s="168"/>
      <c r="I776" s="141"/>
      <c r="J776" s="142"/>
      <c r="K776" s="170"/>
      <c r="N776" s="1"/>
      <c r="O776" s="1"/>
      <c r="P776" s="1"/>
      <c r="Q776" s="1"/>
      <c r="R776" s="1"/>
      <c r="S776" s="1"/>
    </row>
    <row r="777" spans="1:19" s="62" customFormat="1">
      <c r="A777" s="1"/>
      <c r="B777" s="171" t="s">
        <v>23</v>
      </c>
      <c r="C777" s="168"/>
      <c r="D777" s="140"/>
      <c r="E777" s="168"/>
      <c r="F777" s="168"/>
      <c r="G777" s="169"/>
      <c r="H777" s="168"/>
      <c r="I777" s="141"/>
      <c r="J777" s="142"/>
      <c r="K777" s="170"/>
      <c r="N777" s="1"/>
      <c r="O777" s="1"/>
      <c r="P777" s="1"/>
      <c r="Q777" s="1"/>
      <c r="R777" s="1"/>
      <c r="S777" s="1"/>
    </row>
    <row r="778" spans="1:19" s="62" customFormat="1">
      <c r="A778" s="1"/>
      <c r="B778" s="179" t="s">
        <v>49</v>
      </c>
      <c r="C778" s="180"/>
      <c r="D778" s="181"/>
      <c r="E778" s="180">
        <f>+E780</f>
        <v>0</v>
      </c>
      <c r="F778" s="180"/>
      <c r="G778" s="181"/>
      <c r="H778" s="180">
        <f>+H780</f>
        <v>0</v>
      </c>
      <c r="I778" s="184"/>
      <c r="J778" s="184"/>
      <c r="K778" s="184"/>
      <c r="N778" s="1"/>
      <c r="O778" s="1"/>
      <c r="P778" s="1"/>
      <c r="Q778" s="1"/>
      <c r="R778" s="1"/>
      <c r="S778" s="1"/>
    </row>
    <row r="779" spans="1:19" s="62" customFormat="1">
      <c r="A779" s="1"/>
      <c r="B779" s="167" t="s">
        <v>19</v>
      </c>
      <c r="C779" s="168"/>
      <c r="D779" s="140"/>
      <c r="E779" s="168"/>
      <c r="F779" s="168"/>
      <c r="G779" s="169"/>
      <c r="H779" s="168"/>
      <c r="I779" s="168"/>
      <c r="J779" s="168"/>
      <c r="K779" s="170"/>
      <c r="N779" s="1"/>
      <c r="O779" s="1"/>
      <c r="P779" s="1"/>
      <c r="Q779" s="1"/>
      <c r="R779" s="1"/>
      <c r="S779" s="1"/>
    </row>
    <row r="780" spans="1:19" s="62" customFormat="1">
      <c r="A780" s="1"/>
      <c r="B780" s="216" t="s">
        <v>50</v>
      </c>
      <c r="C780" s="133"/>
      <c r="D780" s="134"/>
      <c r="E780" s="133"/>
      <c r="F780" s="133"/>
      <c r="G780" s="134"/>
      <c r="H780" s="133"/>
      <c r="I780" s="133"/>
      <c r="J780" s="133"/>
      <c r="K780" s="137"/>
      <c r="N780" s="1"/>
      <c r="O780" s="1"/>
      <c r="P780" s="1"/>
      <c r="Q780" s="1"/>
      <c r="R780" s="1"/>
      <c r="S780" s="1"/>
    </row>
    <row r="781" spans="1:19" s="62" customFormat="1" ht="27.75" customHeight="1">
      <c r="A781" s="16"/>
      <c r="B781" s="171" t="s">
        <v>17</v>
      </c>
      <c r="C781" s="168"/>
      <c r="D781" s="140"/>
      <c r="E781" s="168"/>
      <c r="F781" s="168"/>
      <c r="G781" s="169"/>
      <c r="H781" s="168"/>
      <c r="I781" s="141"/>
      <c r="J781" s="142"/>
      <c r="K781" s="170"/>
      <c r="N781" s="1"/>
      <c r="O781" s="1"/>
      <c r="P781" s="1"/>
      <c r="Q781" s="1"/>
      <c r="R781" s="1"/>
      <c r="S781" s="1"/>
    </row>
    <row r="782" spans="1:19" s="62" customFormat="1" ht="27.75" customHeight="1">
      <c r="A782" s="1"/>
      <c r="B782" s="171" t="s">
        <v>18</v>
      </c>
      <c r="C782" s="168"/>
      <c r="D782" s="140"/>
      <c r="E782" s="168"/>
      <c r="F782" s="168"/>
      <c r="G782" s="169"/>
      <c r="H782" s="168"/>
      <c r="I782" s="141"/>
      <c r="J782" s="142"/>
      <c r="K782" s="170"/>
      <c r="N782" s="1"/>
      <c r="O782" s="1"/>
      <c r="P782" s="1"/>
      <c r="Q782" s="1"/>
      <c r="R782" s="1"/>
      <c r="S782" s="1"/>
    </row>
    <row r="783" spans="1:19" s="62" customFormat="1">
      <c r="A783" s="1"/>
      <c r="B783" s="167" t="s">
        <v>22</v>
      </c>
      <c r="C783" s="168"/>
      <c r="D783" s="140"/>
      <c r="E783" s="168"/>
      <c r="F783" s="168"/>
      <c r="G783" s="169"/>
      <c r="H783" s="168"/>
      <c r="I783" s="141"/>
      <c r="J783" s="142"/>
      <c r="K783" s="170"/>
      <c r="N783" s="1"/>
      <c r="O783" s="1"/>
      <c r="P783" s="1"/>
      <c r="Q783" s="1"/>
      <c r="R783" s="1"/>
      <c r="S783" s="1"/>
    </row>
    <row r="784" spans="1:19" s="62" customFormat="1">
      <c r="A784" s="1"/>
      <c r="B784" s="167" t="s">
        <v>51</v>
      </c>
      <c r="C784" s="168"/>
      <c r="D784" s="140"/>
      <c r="E784" s="168"/>
      <c r="F784" s="168"/>
      <c r="G784" s="169"/>
      <c r="H784" s="168"/>
      <c r="I784" s="141"/>
      <c r="J784" s="142"/>
      <c r="K784" s="170"/>
      <c r="N784" s="1"/>
      <c r="O784" s="1"/>
      <c r="P784" s="1"/>
      <c r="Q784" s="1"/>
      <c r="R784" s="1"/>
      <c r="S784" s="1"/>
    </row>
    <row r="785" spans="1:19" s="62" customFormat="1">
      <c r="A785" s="1"/>
      <c r="B785" s="171" t="s">
        <v>23</v>
      </c>
      <c r="C785" s="168"/>
      <c r="D785" s="140"/>
      <c r="E785" s="168"/>
      <c r="F785" s="168"/>
      <c r="G785" s="169"/>
      <c r="H785" s="168"/>
      <c r="I785" s="141"/>
      <c r="J785" s="142"/>
      <c r="K785" s="170"/>
      <c r="N785" s="1"/>
      <c r="O785" s="1"/>
      <c r="P785" s="1"/>
      <c r="Q785" s="1"/>
      <c r="R785" s="1"/>
      <c r="S785" s="1"/>
    </row>
    <row r="786" spans="1:19" s="62" customFormat="1">
      <c r="A786" s="1"/>
      <c r="B786" s="167" t="s">
        <v>20</v>
      </c>
      <c r="C786" s="168"/>
      <c r="D786" s="140"/>
      <c r="E786" s="168"/>
      <c r="F786" s="168"/>
      <c r="G786" s="169"/>
      <c r="H786" s="168"/>
      <c r="I786" s="141"/>
      <c r="J786" s="142"/>
      <c r="K786" s="170"/>
      <c r="N786" s="1"/>
      <c r="O786" s="1"/>
      <c r="P786" s="1"/>
      <c r="Q786" s="1"/>
      <c r="R786" s="1"/>
      <c r="S786" s="1"/>
    </row>
    <row r="787" spans="1:19" s="62" customFormat="1">
      <c r="A787" s="1"/>
      <c r="B787" s="167" t="s">
        <v>51</v>
      </c>
      <c r="C787" s="168"/>
      <c r="D787" s="140"/>
      <c r="E787" s="168"/>
      <c r="F787" s="168"/>
      <c r="G787" s="169"/>
      <c r="H787" s="168"/>
      <c r="I787" s="141"/>
      <c r="J787" s="142"/>
      <c r="K787" s="170"/>
      <c r="N787" s="1"/>
      <c r="O787" s="1"/>
      <c r="P787" s="1"/>
      <c r="Q787" s="1"/>
      <c r="R787" s="1"/>
      <c r="S787" s="1"/>
    </row>
    <row r="788" spans="1:19" s="62" customFormat="1">
      <c r="A788" s="1"/>
      <c r="B788" s="171" t="s">
        <v>23</v>
      </c>
      <c r="C788" s="168"/>
      <c r="D788" s="140"/>
      <c r="E788" s="168"/>
      <c r="F788" s="168"/>
      <c r="G788" s="169"/>
      <c r="H788" s="168"/>
      <c r="I788" s="141"/>
      <c r="J788" s="142"/>
      <c r="K788" s="170"/>
      <c r="N788" s="1"/>
      <c r="O788" s="1"/>
      <c r="P788" s="1"/>
      <c r="Q788" s="1"/>
      <c r="R788" s="1"/>
      <c r="S788" s="1"/>
    </row>
    <row r="789" spans="1:19" s="62" customFormat="1">
      <c r="A789" s="1"/>
      <c r="B789" s="216" t="s">
        <v>53</v>
      </c>
      <c r="C789" s="133"/>
      <c r="D789" s="134"/>
      <c r="E789" s="133"/>
      <c r="F789" s="133"/>
      <c r="G789" s="134"/>
      <c r="H789" s="133">
        <f>+H791</f>
        <v>0</v>
      </c>
      <c r="I789" s="133"/>
      <c r="J789" s="133"/>
      <c r="K789" s="137"/>
      <c r="N789" s="1"/>
      <c r="O789" s="1"/>
      <c r="P789" s="1"/>
      <c r="Q789" s="1"/>
      <c r="R789" s="1"/>
      <c r="S789" s="1"/>
    </row>
    <row r="790" spans="1:19" s="62" customFormat="1">
      <c r="A790" s="1"/>
      <c r="B790" s="167" t="s">
        <v>52</v>
      </c>
      <c r="C790" s="168"/>
      <c r="D790" s="140"/>
      <c r="E790" s="168"/>
      <c r="F790" s="168"/>
      <c r="G790" s="169"/>
      <c r="H790" s="168"/>
      <c r="I790" s="168"/>
      <c r="J790" s="168"/>
      <c r="K790" s="170"/>
      <c r="N790" s="1"/>
      <c r="O790" s="1"/>
      <c r="P790" s="1"/>
      <c r="Q790" s="1"/>
      <c r="R790" s="1"/>
      <c r="S790" s="1"/>
    </row>
    <row r="791" spans="1:19" s="62" customFormat="1">
      <c r="A791" s="1"/>
      <c r="B791" s="167"/>
      <c r="C791" s="168"/>
      <c r="D791" s="140"/>
      <c r="E791" s="168"/>
      <c r="F791" s="168"/>
      <c r="G791" s="169"/>
      <c r="H791" s="168"/>
      <c r="I791" s="168"/>
      <c r="J791" s="168"/>
      <c r="K791" s="167"/>
      <c r="N791" s="1"/>
      <c r="O791" s="1"/>
      <c r="P791" s="1"/>
      <c r="Q791" s="1"/>
      <c r="R791" s="1"/>
      <c r="S791" s="1"/>
    </row>
    <row r="792" spans="1:19" s="62" customFormat="1">
      <c r="A792" s="1"/>
      <c r="B792" s="185" t="s">
        <v>56</v>
      </c>
      <c r="C792" s="145"/>
      <c r="D792" s="146"/>
      <c r="E792" s="145">
        <f>SUM(E793:E793)</f>
        <v>0</v>
      </c>
      <c r="F792" s="145"/>
      <c r="G792" s="146"/>
      <c r="H792" s="145">
        <f>SUM(H793:H793)</f>
        <v>1.4</v>
      </c>
      <c r="I792" s="147">
        <f t="shared" si="25"/>
        <v>1.4</v>
      </c>
      <c r="J792" s="148">
        <f t="shared" si="26"/>
        <v>100</v>
      </c>
      <c r="K792" s="149"/>
      <c r="N792" s="1"/>
      <c r="O792" s="1"/>
      <c r="P792" s="1"/>
      <c r="Q792" s="1"/>
      <c r="R792" s="1"/>
      <c r="S792" s="1"/>
    </row>
    <row r="793" spans="1:19" s="62" customFormat="1" ht="37.5">
      <c r="A793" s="1"/>
      <c r="B793" s="167" t="s">
        <v>286</v>
      </c>
      <c r="C793" s="168"/>
      <c r="D793" s="140"/>
      <c r="E793" s="168"/>
      <c r="F793" s="168"/>
      <c r="G793" s="169"/>
      <c r="H793" s="168">
        <v>1.4</v>
      </c>
      <c r="I793" s="141">
        <f t="shared" si="25"/>
        <v>1.4</v>
      </c>
      <c r="J793" s="142">
        <f t="shared" si="26"/>
        <v>100</v>
      </c>
      <c r="K793" s="167" t="s">
        <v>1030</v>
      </c>
      <c r="N793" s="1"/>
      <c r="O793" s="1"/>
      <c r="P793" s="1"/>
      <c r="Q793" s="1"/>
      <c r="R793" s="1"/>
      <c r="S793" s="1"/>
    </row>
    <row r="794" spans="1:19" s="62" customFormat="1">
      <c r="A794" s="1"/>
      <c r="B794" s="167"/>
      <c r="C794" s="168"/>
      <c r="D794" s="140"/>
      <c r="E794" s="168"/>
      <c r="F794" s="168"/>
      <c r="G794" s="169"/>
      <c r="H794" s="168"/>
      <c r="I794" s="141"/>
      <c r="J794" s="142"/>
      <c r="K794" s="170"/>
      <c r="N794" s="1"/>
      <c r="O794" s="1"/>
      <c r="P794" s="1"/>
      <c r="Q794" s="1"/>
      <c r="R794" s="1"/>
      <c r="S794" s="1"/>
    </row>
    <row r="795" spans="1:19" s="62" customFormat="1" ht="45" customHeight="1">
      <c r="A795" s="16"/>
      <c r="B795" s="209" t="s">
        <v>148</v>
      </c>
      <c r="C795" s="210"/>
      <c r="D795" s="211"/>
      <c r="E795" s="210">
        <f>+E797+E841+E864+E867</f>
        <v>123.8125</v>
      </c>
      <c r="F795" s="210"/>
      <c r="G795" s="211"/>
      <c r="H795" s="210">
        <f>+H797+H841+H864+H867</f>
        <v>135.71640000000002</v>
      </c>
      <c r="I795" s="212">
        <f t="shared" si="25"/>
        <v>11.903900000000021</v>
      </c>
      <c r="J795" s="213">
        <f t="shared" si="26"/>
        <v>8.7711580914318539</v>
      </c>
      <c r="K795" s="214"/>
      <c r="N795" s="1"/>
      <c r="O795" s="1"/>
      <c r="P795" s="1"/>
      <c r="Q795" s="1"/>
      <c r="R795" s="1"/>
      <c r="S795" s="1"/>
    </row>
    <row r="796" spans="1:19" s="62" customFormat="1" ht="27.75" customHeight="1">
      <c r="A796" s="1"/>
      <c r="B796" s="215" t="s">
        <v>94</v>
      </c>
      <c r="C796" s="168"/>
      <c r="D796" s="169"/>
      <c r="E796" s="172"/>
      <c r="F796" s="139"/>
      <c r="G796" s="140"/>
      <c r="H796" s="172"/>
      <c r="I796" s="141"/>
      <c r="J796" s="142"/>
      <c r="K796" s="143"/>
      <c r="N796" s="1"/>
      <c r="O796" s="1"/>
      <c r="P796" s="1"/>
      <c r="Q796" s="1"/>
      <c r="R796" s="1"/>
      <c r="S796" s="1"/>
    </row>
    <row r="797" spans="1:19" s="62" customFormat="1">
      <c r="A797" s="1"/>
      <c r="B797" s="177" t="s">
        <v>38</v>
      </c>
      <c r="C797" s="121"/>
      <c r="D797" s="122"/>
      <c r="E797" s="121">
        <f>+E798+E835</f>
        <v>9.7285000000000004</v>
      </c>
      <c r="F797" s="121"/>
      <c r="G797" s="122"/>
      <c r="H797" s="121">
        <f>+H798+H835</f>
        <v>12.6854</v>
      </c>
      <c r="I797" s="123">
        <f t="shared" si="25"/>
        <v>2.9568999999999992</v>
      </c>
      <c r="J797" s="124">
        <f t="shared" si="26"/>
        <v>23.309473883361971</v>
      </c>
      <c r="K797" s="125"/>
      <c r="N797" s="1"/>
      <c r="O797" s="1"/>
      <c r="P797" s="1"/>
      <c r="Q797" s="1"/>
      <c r="R797" s="1"/>
      <c r="S797" s="1"/>
    </row>
    <row r="798" spans="1:19" s="62" customFormat="1">
      <c r="A798" s="1"/>
      <c r="B798" s="179" t="s">
        <v>41</v>
      </c>
      <c r="C798" s="180"/>
      <c r="D798" s="181"/>
      <c r="E798" s="180">
        <f>+E799+E802+E831</f>
        <v>9.7285000000000004</v>
      </c>
      <c r="F798" s="180"/>
      <c r="G798" s="181"/>
      <c r="H798" s="180">
        <f>+H799+H802+H831</f>
        <v>12.6854</v>
      </c>
      <c r="I798" s="182">
        <f t="shared" si="25"/>
        <v>2.9568999999999992</v>
      </c>
      <c r="J798" s="183">
        <f t="shared" si="26"/>
        <v>23.309473883361971</v>
      </c>
      <c r="K798" s="184"/>
      <c r="N798" s="1"/>
      <c r="O798" s="1"/>
      <c r="P798" s="1"/>
      <c r="Q798" s="1"/>
      <c r="R798" s="1"/>
      <c r="S798" s="1"/>
    </row>
    <row r="799" spans="1:19" s="62" customFormat="1">
      <c r="A799" s="1"/>
      <c r="B799" s="216" t="s">
        <v>42</v>
      </c>
      <c r="C799" s="133"/>
      <c r="D799" s="134"/>
      <c r="E799" s="133">
        <f>SUM(E800:E801)</f>
        <v>2.8965999999999998</v>
      </c>
      <c r="F799" s="133"/>
      <c r="G799" s="134"/>
      <c r="H799" s="133">
        <f>SUM(H800:H801)</f>
        <v>3.8104</v>
      </c>
      <c r="I799" s="135">
        <f t="shared" si="25"/>
        <v>0.91380000000000017</v>
      </c>
      <c r="J799" s="136">
        <f t="shared" si="26"/>
        <v>23.981734201133744</v>
      </c>
      <c r="K799" s="137"/>
      <c r="N799" s="1"/>
      <c r="O799" s="1"/>
      <c r="P799" s="1"/>
      <c r="Q799" s="1"/>
      <c r="R799" s="1"/>
      <c r="S799" s="1"/>
    </row>
    <row r="800" spans="1:19" s="62" customFormat="1" ht="93.75">
      <c r="A800" s="1"/>
      <c r="B800" s="171" t="s">
        <v>210</v>
      </c>
      <c r="C800" s="168"/>
      <c r="D800" s="140"/>
      <c r="E800" s="168">
        <v>0.5</v>
      </c>
      <c r="F800" s="168"/>
      <c r="G800" s="169"/>
      <c r="H800" s="168">
        <v>0.52159999999999995</v>
      </c>
      <c r="I800" s="141">
        <f t="shared" si="25"/>
        <v>2.1599999999999953E-2</v>
      </c>
      <c r="J800" s="142">
        <f t="shared" si="26"/>
        <v>4.1411042944785192</v>
      </c>
      <c r="K800" s="167" t="s">
        <v>211</v>
      </c>
      <c r="N800" s="1"/>
      <c r="O800" s="1"/>
      <c r="P800" s="1"/>
      <c r="Q800" s="1"/>
      <c r="R800" s="1"/>
      <c r="S800" s="1"/>
    </row>
    <row r="801" spans="1:19" s="62" customFormat="1" ht="112.5">
      <c r="A801" s="1"/>
      <c r="B801" s="171" t="s">
        <v>149</v>
      </c>
      <c r="C801" s="168"/>
      <c r="D801" s="140"/>
      <c r="E801" s="168">
        <v>2.3965999999999998</v>
      </c>
      <c r="F801" s="168"/>
      <c r="G801" s="169"/>
      <c r="H801" s="168">
        <v>3.2888000000000002</v>
      </c>
      <c r="I801" s="141">
        <f t="shared" si="25"/>
        <v>0.89220000000000033</v>
      </c>
      <c r="J801" s="142">
        <f t="shared" si="26"/>
        <v>27.128435903673079</v>
      </c>
      <c r="K801" s="167" t="s">
        <v>209</v>
      </c>
      <c r="N801" s="1"/>
      <c r="O801" s="1"/>
      <c r="P801" s="1"/>
      <c r="Q801" s="1"/>
      <c r="R801" s="1"/>
      <c r="S801" s="1"/>
    </row>
    <row r="802" spans="1:19" s="62" customFormat="1">
      <c r="A802" s="1"/>
      <c r="B802" s="216" t="s">
        <v>43</v>
      </c>
      <c r="C802" s="133"/>
      <c r="D802" s="134"/>
      <c r="E802" s="133">
        <f>SUM(E804:E818)</f>
        <v>6.0819000000000001</v>
      </c>
      <c r="F802" s="133"/>
      <c r="G802" s="134"/>
      <c r="H802" s="133">
        <f>SUM(H804:H830)</f>
        <v>7.7110999999999992</v>
      </c>
      <c r="I802" s="135">
        <f t="shared" si="25"/>
        <v>1.6291999999999991</v>
      </c>
      <c r="J802" s="136">
        <f t="shared" si="26"/>
        <v>21.127984334271364</v>
      </c>
      <c r="K802" s="137"/>
      <c r="N802" s="1"/>
      <c r="O802" s="1"/>
      <c r="P802" s="1"/>
      <c r="Q802" s="1"/>
      <c r="R802" s="1"/>
      <c r="S802" s="1"/>
    </row>
    <row r="803" spans="1:19" s="62" customFormat="1">
      <c r="A803" s="1"/>
      <c r="B803" s="167" t="s">
        <v>19</v>
      </c>
      <c r="C803" s="168"/>
      <c r="D803" s="140"/>
      <c r="E803" s="168"/>
      <c r="F803" s="168"/>
      <c r="G803" s="169"/>
      <c r="H803" s="168"/>
      <c r="I803" s="141"/>
      <c r="J803" s="142"/>
      <c r="K803" s="170"/>
      <c r="N803" s="1"/>
      <c r="O803" s="1"/>
      <c r="P803" s="1"/>
      <c r="Q803" s="1"/>
      <c r="R803" s="1"/>
      <c r="S803" s="1"/>
    </row>
    <row r="804" spans="1:19" s="62" customFormat="1" ht="120.75" customHeight="1">
      <c r="A804" s="1"/>
      <c r="B804" s="171" t="s">
        <v>85</v>
      </c>
      <c r="C804" s="168"/>
      <c r="D804" s="140"/>
      <c r="E804" s="168">
        <v>1</v>
      </c>
      <c r="F804" s="168"/>
      <c r="G804" s="169"/>
      <c r="H804" s="168">
        <v>1</v>
      </c>
      <c r="I804" s="141">
        <f t="shared" ref="I804:I867" si="27">+H804-E804</f>
        <v>0</v>
      </c>
      <c r="J804" s="142">
        <f t="shared" ref="J804:J867" si="28">+I804*100/H804</f>
        <v>0</v>
      </c>
      <c r="K804" s="167" t="s">
        <v>212</v>
      </c>
      <c r="N804" s="1"/>
      <c r="O804" s="1"/>
      <c r="P804" s="1"/>
      <c r="Q804" s="1"/>
      <c r="R804" s="1"/>
      <c r="S804" s="1"/>
    </row>
    <row r="805" spans="1:19" s="62" customFormat="1" ht="56.25">
      <c r="A805" s="1"/>
      <c r="B805" s="171" t="s">
        <v>151</v>
      </c>
      <c r="C805" s="168"/>
      <c r="D805" s="140"/>
      <c r="E805" s="168">
        <v>0.25</v>
      </c>
      <c r="F805" s="168"/>
      <c r="G805" s="169"/>
      <c r="H805" s="168">
        <v>0.25</v>
      </c>
      <c r="I805" s="141">
        <f t="shared" si="27"/>
        <v>0</v>
      </c>
      <c r="J805" s="142">
        <f t="shared" si="28"/>
        <v>0</v>
      </c>
      <c r="K805" s="167" t="s">
        <v>213</v>
      </c>
      <c r="N805" s="1"/>
      <c r="O805" s="1"/>
      <c r="P805" s="1"/>
      <c r="Q805" s="1"/>
      <c r="R805" s="1"/>
      <c r="S805" s="1"/>
    </row>
    <row r="806" spans="1:19" s="62" customFormat="1" ht="37.5">
      <c r="A806" s="1"/>
      <c r="B806" s="171" t="s">
        <v>150</v>
      </c>
      <c r="C806" s="168"/>
      <c r="D806" s="140"/>
      <c r="E806" s="168">
        <v>0.2</v>
      </c>
      <c r="F806" s="168"/>
      <c r="G806" s="169"/>
      <c r="H806" s="168">
        <v>0.2</v>
      </c>
      <c r="I806" s="141">
        <f t="shared" si="27"/>
        <v>0</v>
      </c>
      <c r="J806" s="142">
        <f t="shared" si="28"/>
        <v>0</v>
      </c>
      <c r="K806" s="167" t="s">
        <v>214</v>
      </c>
      <c r="N806" s="1"/>
      <c r="O806" s="1"/>
      <c r="P806" s="1"/>
      <c r="Q806" s="1"/>
      <c r="R806" s="1"/>
      <c r="S806" s="1"/>
    </row>
    <row r="807" spans="1:19" s="62" customFormat="1" ht="93.75">
      <c r="A807" s="1"/>
      <c r="B807" s="171" t="s">
        <v>152</v>
      </c>
      <c r="C807" s="168"/>
      <c r="D807" s="140"/>
      <c r="E807" s="168">
        <v>0.3</v>
      </c>
      <c r="F807" s="168"/>
      <c r="G807" s="169"/>
      <c r="H807" s="168">
        <v>0.3</v>
      </c>
      <c r="I807" s="141">
        <f t="shared" si="27"/>
        <v>0</v>
      </c>
      <c r="J807" s="142">
        <f t="shared" si="28"/>
        <v>0</v>
      </c>
      <c r="K807" s="167" t="s">
        <v>234</v>
      </c>
      <c r="N807" s="1"/>
      <c r="O807" s="1"/>
      <c r="P807" s="1"/>
      <c r="Q807" s="1"/>
      <c r="R807" s="1"/>
      <c r="S807" s="1"/>
    </row>
    <row r="808" spans="1:19" s="62" customFormat="1" ht="93.75">
      <c r="A808" s="1"/>
      <c r="B808" s="171" t="s">
        <v>153</v>
      </c>
      <c r="C808" s="168"/>
      <c r="D808" s="140"/>
      <c r="E808" s="168">
        <v>8.0000000000000002E-3</v>
      </c>
      <c r="F808" s="168"/>
      <c r="G808" s="169"/>
      <c r="H808" s="168">
        <v>8.0000000000000002E-3</v>
      </c>
      <c r="I808" s="141">
        <f t="shared" si="27"/>
        <v>0</v>
      </c>
      <c r="J808" s="142">
        <f t="shared" si="28"/>
        <v>0</v>
      </c>
      <c r="K808" s="167" t="s">
        <v>215</v>
      </c>
      <c r="N808" s="1"/>
      <c r="O808" s="1"/>
      <c r="P808" s="1"/>
      <c r="Q808" s="1"/>
      <c r="R808" s="1"/>
      <c r="S808" s="1"/>
    </row>
    <row r="809" spans="1:19" s="62" customFormat="1" ht="131.25">
      <c r="A809" s="1"/>
      <c r="B809" s="171" t="s">
        <v>229</v>
      </c>
      <c r="C809" s="168"/>
      <c r="D809" s="140"/>
      <c r="E809" s="168">
        <v>1.825</v>
      </c>
      <c r="F809" s="168"/>
      <c r="G809" s="169"/>
      <c r="H809" s="168">
        <f>2.8604+0.4284</f>
        <v>3.2887999999999997</v>
      </c>
      <c r="I809" s="141">
        <f t="shared" si="27"/>
        <v>1.4637999999999998</v>
      </c>
      <c r="J809" s="142">
        <f t="shared" si="28"/>
        <v>44.508635368523464</v>
      </c>
      <c r="K809" s="167" t="s">
        <v>217</v>
      </c>
      <c r="N809" s="1"/>
      <c r="O809" s="1"/>
      <c r="P809" s="1"/>
      <c r="Q809" s="1"/>
      <c r="R809" s="1"/>
      <c r="S809" s="1"/>
    </row>
    <row r="810" spans="1:19" s="62" customFormat="1" ht="131.25">
      <c r="A810" s="1"/>
      <c r="B810" s="171"/>
      <c r="C810" s="168"/>
      <c r="D810" s="140"/>
      <c r="E810" s="168"/>
      <c r="F810" s="168"/>
      <c r="G810" s="169"/>
      <c r="H810" s="168"/>
      <c r="I810" s="141">
        <f t="shared" si="27"/>
        <v>0</v>
      </c>
      <c r="J810" s="142">
        <v>0</v>
      </c>
      <c r="K810" s="167" t="s">
        <v>216</v>
      </c>
      <c r="N810" s="1"/>
      <c r="O810" s="1"/>
      <c r="P810" s="1"/>
      <c r="Q810" s="1"/>
      <c r="R810" s="1"/>
      <c r="S810" s="1"/>
    </row>
    <row r="811" spans="1:19" ht="93.75">
      <c r="B811" s="171"/>
      <c r="C811" s="168"/>
      <c r="D811" s="140"/>
      <c r="E811" s="168"/>
      <c r="F811" s="168"/>
      <c r="G811" s="169"/>
      <c r="H811" s="168"/>
      <c r="I811" s="141"/>
      <c r="J811" s="142"/>
      <c r="K811" s="167" t="s">
        <v>218</v>
      </c>
    </row>
    <row r="812" spans="1:19" ht="150">
      <c r="B812" s="171"/>
      <c r="C812" s="168"/>
      <c r="D812" s="140"/>
      <c r="E812" s="168"/>
      <c r="F812" s="168"/>
      <c r="G812" s="169"/>
      <c r="H812" s="168"/>
      <c r="I812" s="141"/>
      <c r="J812" s="142"/>
      <c r="K812" s="167" t="s">
        <v>219</v>
      </c>
    </row>
    <row r="813" spans="1:19" ht="112.5">
      <c r="B813" s="171"/>
      <c r="C813" s="168"/>
      <c r="D813" s="140"/>
      <c r="E813" s="168"/>
      <c r="F813" s="168"/>
      <c r="G813" s="169"/>
      <c r="H813" s="168"/>
      <c r="I813" s="141"/>
      <c r="J813" s="142"/>
      <c r="K813" s="167" t="s">
        <v>397</v>
      </c>
      <c r="L813" s="78"/>
      <c r="M813" s="352"/>
      <c r="N813" s="352"/>
      <c r="O813" s="352"/>
    </row>
    <row r="814" spans="1:19" ht="37.5">
      <c r="B814" s="171" t="s">
        <v>230</v>
      </c>
      <c r="C814" s="168"/>
      <c r="D814" s="140"/>
      <c r="E814" s="168"/>
      <c r="F814" s="168"/>
      <c r="G814" s="169"/>
      <c r="H814" s="168">
        <v>0.30030000000000001</v>
      </c>
      <c r="I814" s="141">
        <f t="shared" si="27"/>
        <v>0.30030000000000001</v>
      </c>
      <c r="J814" s="142">
        <f t="shared" si="28"/>
        <v>100</v>
      </c>
      <c r="K814" s="167" t="s">
        <v>396</v>
      </c>
      <c r="L814" s="78"/>
      <c r="M814" s="79"/>
      <c r="N814" s="77"/>
      <c r="O814" s="77"/>
    </row>
    <row r="815" spans="1:19" ht="40.5">
      <c r="B815" s="167" t="s">
        <v>69</v>
      </c>
      <c r="C815" s="168"/>
      <c r="D815" s="140"/>
      <c r="E815" s="168"/>
      <c r="F815" s="168"/>
      <c r="G815" s="169"/>
      <c r="H815" s="168"/>
      <c r="I815" s="141"/>
      <c r="J815" s="142"/>
      <c r="K815" s="170"/>
      <c r="L815" s="78"/>
      <c r="M815" s="79"/>
      <c r="N815" s="77"/>
      <c r="O815" s="77"/>
    </row>
    <row r="816" spans="1:19" ht="19.5">
      <c r="B816" s="171" t="s">
        <v>2</v>
      </c>
      <c r="C816" s="172"/>
      <c r="D816" s="173"/>
      <c r="E816" s="172"/>
      <c r="F816" s="168"/>
      <c r="G816" s="169"/>
      <c r="H816" s="172"/>
      <c r="I816" s="141"/>
      <c r="J816" s="142"/>
      <c r="K816" s="170"/>
      <c r="L816" s="78"/>
      <c r="M816" s="79"/>
      <c r="N816" s="77"/>
      <c r="O816" s="77"/>
    </row>
    <row r="817" spans="1:19">
      <c r="B817" s="171" t="s">
        <v>3</v>
      </c>
      <c r="C817" s="172"/>
      <c r="D817" s="173"/>
      <c r="E817" s="172"/>
      <c r="F817" s="168"/>
      <c r="G817" s="169"/>
      <c r="H817" s="172"/>
      <c r="I817" s="141"/>
      <c r="J817" s="142"/>
      <c r="K817" s="170"/>
    </row>
    <row r="818" spans="1:19">
      <c r="B818" s="171" t="s">
        <v>398</v>
      </c>
      <c r="C818" s="168"/>
      <c r="D818" s="140"/>
      <c r="E818" s="168">
        <v>2.4988999999999999</v>
      </c>
      <c r="F818" s="168"/>
      <c r="G818" s="169"/>
      <c r="H818" s="168">
        <v>2.3639999999999999</v>
      </c>
      <c r="I818" s="141">
        <f t="shared" si="27"/>
        <v>-0.13490000000000002</v>
      </c>
      <c r="J818" s="142">
        <f t="shared" si="28"/>
        <v>-5.7064297800338419</v>
      </c>
      <c r="K818" s="170" t="s">
        <v>228</v>
      </c>
    </row>
    <row r="819" spans="1:19">
      <c r="B819" s="171"/>
      <c r="C819" s="168"/>
      <c r="D819" s="140"/>
      <c r="E819" s="168"/>
      <c r="F819" s="168"/>
      <c r="G819" s="169"/>
      <c r="H819" s="168"/>
      <c r="I819" s="141"/>
      <c r="J819" s="142"/>
      <c r="K819" s="170" t="s">
        <v>221</v>
      </c>
    </row>
    <row r="820" spans="1:19">
      <c r="B820" s="171"/>
      <c r="C820" s="168"/>
      <c r="D820" s="140"/>
      <c r="E820" s="168"/>
      <c r="F820" s="168"/>
      <c r="G820" s="169"/>
      <c r="H820" s="168"/>
      <c r="I820" s="141"/>
      <c r="J820" s="142"/>
      <c r="K820" s="170" t="s">
        <v>220</v>
      </c>
    </row>
    <row r="821" spans="1:19">
      <c r="B821" s="171"/>
      <c r="C821" s="168"/>
      <c r="D821" s="140"/>
      <c r="E821" s="168"/>
      <c r="F821" s="168"/>
      <c r="G821" s="169"/>
      <c r="H821" s="168"/>
      <c r="I821" s="141"/>
      <c r="J821" s="142"/>
      <c r="K821" s="170" t="s">
        <v>222</v>
      </c>
    </row>
    <row r="822" spans="1:19">
      <c r="B822" s="171"/>
      <c r="C822" s="168"/>
      <c r="D822" s="140"/>
      <c r="E822" s="168"/>
      <c r="F822" s="168"/>
      <c r="G822" s="169"/>
      <c r="H822" s="168"/>
      <c r="I822" s="141"/>
      <c r="J822" s="142"/>
      <c r="K822" s="170" t="s">
        <v>223</v>
      </c>
    </row>
    <row r="823" spans="1:19">
      <c r="B823" s="171"/>
      <c r="C823" s="168"/>
      <c r="D823" s="140"/>
      <c r="E823" s="168"/>
      <c r="F823" s="168"/>
      <c r="G823" s="169"/>
      <c r="H823" s="168"/>
      <c r="I823" s="141"/>
      <c r="J823" s="142"/>
      <c r="K823" s="170" t="s">
        <v>224</v>
      </c>
    </row>
    <row r="824" spans="1:19">
      <c r="B824" s="171"/>
      <c r="C824" s="168"/>
      <c r="D824" s="140"/>
      <c r="E824" s="168"/>
      <c r="F824" s="168"/>
      <c r="G824" s="169"/>
      <c r="H824" s="168"/>
      <c r="I824" s="141"/>
      <c r="J824" s="142"/>
      <c r="K824" s="170" t="s">
        <v>225</v>
      </c>
    </row>
    <row r="825" spans="1:19">
      <c r="B825" s="171"/>
      <c r="C825" s="168"/>
      <c r="D825" s="140"/>
      <c r="E825" s="168"/>
      <c r="F825" s="168"/>
      <c r="G825" s="169"/>
      <c r="H825" s="168"/>
      <c r="I825" s="141"/>
      <c r="J825" s="142"/>
      <c r="K825" s="170" t="s">
        <v>226</v>
      </c>
    </row>
    <row r="826" spans="1:19">
      <c r="B826" s="171"/>
      <c r="C826" s="168"/>
      <c r="D826" s="140"/>
      <c r="E826" s="168"/>
      <c r="F826" s="168"/>
      <c r="G826" s="169"/>
      <c r="H826" s="168"/>
      <c r="I826" s="141"/>
      <c r="J826" s="142"/>
      <c r="K826" s="170" t="s">
        <v>227</v>
      </c>
    </row>
    <row r="827" spans="1:19" s="62" customFormat="1">
      <c r="A827" s="1"/>
      <c r="B827" s="167" t="s">
        <v>22</v>
      </c>
      <c r="C827" s="168"/>
      <c r="D827" s="140"/>
      <c r="E827" s="168"/>
      <c r="F827" s="168"/>
      <c r="G827" s="169"/>
      <c r="H827" s="168"/>
      <c r="I827" s="141"/>
      <c r="J827" s="142"/>
      <c r="K827" s="170"/>
      <c r="N827" s="1"/>
      <c r="O827" s="1"/>
      <c r="P827" s="1"/>
      <c r="Q827" s="1"/>
      <c r="R827" s="1"/>
      <c r="S827" s="1"/>
    </row>
    <row r="828" spans="1:19" s="62" customFormat="1">
      <c r="A828" s="1"/>
      <c r="B828" s="171" t="s">
        <v>21</v>
      </c>
      <c r="C828" s="168"/>
      <c r="D828" s="140"/>
      <c r="E828" s="168"/>
      <c r="F828" s="168"/>
      <c r="G828" s="169"/>
      <c r="H828" s="168"/>
      <c r="I828" s="141"/>
      <c r="J828" s="142"/>
      <c r="K828" s="170"/>
      <c r="N828" s="1"/>
      <c r="O828" s="1"/>
      <c r="P828" s="1"/>
      <c r="Q828" s="1"/>
      <c r="R828" s="1"/>
      <c r="S828" s="1"/>
    </row>
    <row r="829" spans="1:19" s="62" customFormat="1">
      <c r="A829" s="1"/>
      <c r="B829" s="167" t="s">
        <v>20</v>
      </c>
      <c r="C829" s="168"/>
      <c r="D829" s="140"/>
      <c r="E829" s="168"/>
      <c r="F829" s="168"/>
      <c r="G829" s="169"/>
      <c r="H829" s="168"/>
      <c r="I829" s="141"/>
      <c r="J829" s="142"/>
      <c r="K829" s="170"/>
      <c r="N829" s="1"/>
      <c r="O829" s="1"/>
      <c r="P829" s="1"/>
      <c r="Q829" s="1"/>
      <c r="R829" s="1"/>
      <c r="S829" s="1"/>
    </row>
    <row r="830" spans="1:19" s="62" customFormat="1">
      <c r="A830" s="1"/>
      <c r="B830" s="171" t="s">
        <v>17</v>
      </c>
      <c r="C830" s="168"/>
      <c r="D830" s="140"/>
      <c r="E830" s="168"/>
      <c r="F830" s="168"/>
      <c r="G830" s="169"/>
      <c r="H830" s="168"/>
      <c r="I830" s="141"/>
      <c r="J830" s="142"/>
      <c r="K830" s="170"/>
      <c r="N830" s="1"/>
      <c r="O830" s="1"/>
      <c r="P830" s="1"/>
      <c r="Q830" s="1"/>
      <c r="R830" s="1"/>
      <c r="S830" s="1"/>
    </row>
    <row r="831" spans="1:19" s="62" customFormat="1">
      <c r="A831" s="1"/>
      <c r="B831" s="216" t="s">
        <v>44</v>
      </c>
      <c r="C831" s="133"/>
      <c r="D831" s="134"/>
      <c r="E831" s="133">
        <f>SUM(E832:E834)</f>
        <v>0.75</v>
      </c>
      <c r="F831" s="133"/>
      <c r="G831" s="134"/>
      <c r="H831" s="133">
        <f>SUM(H832:H834)</f>
        <v>1.1638999999999999</v>
      </c>
      <c r="I831" s="135">
        <f t="shared" si="27"/>
        <v>0.41389999999999993</v>
      </c>
      <c r="J831" s="136">
        <f t="shared" si="28"/>
        <v>35.561474353466792</v>
      </c>
      <c r="K831" s="137"/>
      <c r="N831" s="1"/>
      <c r="O831" s="1"/>
      <c r="P831" s="1"/>
      <c r="Q831" s="1"/>
      <c r="R831" s="1"/>
      <c r="S831" s="1"/>
    </row>
    <row r="832" spans="1:19" s="62" customFormat="1" ht="37.5">
      <c r="A832" s="1"/>
      <c r="B832" s="171" t="s">
        <v>90</v>
      </c>
      <c r="C832" s="168"/>
      <c r="D832" s="140"/>
      <c r="E832" s="168">
        <v>0.4</v>
      </c>
      <c r="F832" s="168"/>
      <c r="G832" s="169"/>
      <c r="H832" s="139">
        <v>0.81389999999999996</v>
      </c>
      <c r="I832" s="141">
        <f t="shared" si="27"/>
        <v>0.41389999999999993</v>
      </c>
      <c r="J832" s="142">
        <f t="shared" si="28"/>
        <v>50.853913257156897</v>
      </c>
      <c r="K832" s="167" t="s">
        <v>231</v>
      </c>
      <c r="N832" s="1"/>
      <c r="O832" s="1"/>
      <c r="P832" s="1"/>
      <c r="Q832" s="1"/>
      <c r="R832" s="1"/>
      <c r="S832" s="1"/>
    </row>
    <row r="833" spans="1:19" s="62" customFormat="1" ht="37.5">
      <c r="A833" s="1"/>
      <c r="B833" s="171" t="s">
        <v>91</v>
      </c>
      <c r="C833" s="168"/>
      <c r="D833" s="140"/>
      <c r="E833" s="168">
        <v>0.25</v>
      </c>
      <c r="F833" s="168"/>
      <c r="G833" s="169"/>
      <c r="H833" s="139">
        <v>0.25</v>
      </c>
      <c r="I833" s="141">
        <f t="shared" si="27"/>
        <v>0</v>
      </c>
      <c r="J833" s="142">
        <f t="shared" si="28"/>
        <v>0</v>
      </c>
      <c r="K833" s="167" t="s">
        <v>232</v>
      </c>
      <c r="N833" s="1"/>
      <c r="O833" s="1"/>
      <c r="P833" s="1"/>
      <c r="Q833" s="1"/>
      <c r="R833" s="1"/>
      <c r="S833" s="1"/>
    </row>
    <row r="834" spans="1:19" s="62" customFormat="1" ht="56.25">
      <c r="A834" s="1"/>
      <c r="B834" s="171" t="s">
        <v>135</v>
      </c>
      <c r="C834" s="168"/>
      <c r="D834" s="140"/>
      <c r="E834" s="168">
        <v>0.1</v>
      </c>
      <c r="F834" s="168"/>
      <c r="G834" s="169"/>
      <c r="H834" s="139">
        <v>0.1</v>
      </c>
      <c r="I834" s="141">
        <f t="shared" si="27"/>
        <v>0</v>
      </c>
      <c r="J834" s="142">
        <f t="shared" si="28"/>
        <v>0</v>
      </c>
      <c r="K834" s="167" t="s">
        <v>233</v>
      </c>
      <c r="N834" s="1"/>
      <c r="O834" s="1"/>
      <c r="P834" s="1"/>
      <c r="Q834" s="1"/>
      <c r="R834" s="1"/>
      <c r="S834" s="1"/>
    </row>
    <row r="835" spans="1:19" s="62" customFormat="1">
      <c r="A835" s="1"/>
      <c r="B835" s="179" t="s">
        <v>45</v>
      </c>
      <c r="C835" s="180"/>
      <c r="D835" s="181"/>
      <c r="E835" s="180">
        <f>SUM(E836:E840)</f>
        <v>0</v>
      </c>
      <c r="F835" s="180"/>
      <c r="G835" s="181"/>
      <c r="H835" s="180">
        <f>SUM(H836:H840)</f>
        <v>0</v>
      </c>
      <c r="I835" s="182"/>
      <c r="J835" s="183"/>
      <c r="K835" s="184"/>
      <c r="N835" s="1"/>
      <c r="O835" s="1"/>
      <c r="P835" s="1"/>
      <c r="Q835" s="1"/>
      <c r="R835" s="1"/>
      <c r="S835" s="1"/>
    </row>
    <row r="836" spans="1:19" s="62" customFormat="1">
      <c r="A836" s="1"/>
      <c r="B836" s="171" t="s">
        <v>106</v>
      </c>
      <c r="C836" s="168"/>
      <c r="D836" s="140"/>
      <c r="E836" s="168"/>
      <c r="F836" s="168"/>
      <c r="G836" s="169"/>
      <c r="H836" s="168"/>
      <c r="I836" s="168"/>
      <c r="J836" s="168"/>
      <c r="K836" s="170"/>
      <c r="N836" s="1"/>
      <c r="O836" s="1"/>
      <c r="P836" s="1"/>
      <c r="Q836" s="1"/>
      <c r="R836" s="1"/>
      <c r="S836" s="1"/>
    </row>
    <row r="837" spans="1:19" s="62" customFormat="1">
      <c r="A837" s="1"/>
      <c r="B837" s="171" t="s">
        <v>107</v>
      </c>
      <c r="C837" s="168"/>
      <c r="D837" s="140"/>
      <c r="E837" s="168"/>
      <c r="F837" s="168"/>
      <c r="G837" s="169"/>
      <c r="H837" s="168"/>
      <c r="I837" s="168"/>
      <c r="J837" s="168"/>
      <c r="K837" s="170"/>
      <c r="N837" s="1"/>
      <c r="O837" s="1"/>
      <c r="P837" s="1"/>
      <c r="Q837" s="1"/>
      <c r="R837" s="1"/>
      <c r="S837" s="1"/>
    </row>
    <row r="838" spans="1:19" s="62" customFormat="1">
      <c r="A838" s="1"/>
      <c r="B838" s="171" t="s">
        <v>108</v>
      </c>
      <c r="C838" s="168"/>
      <c r="D838" s="140"/>
      <c r="E838" s="168"/>
      <c r="F838" s="168"/>
      <c r="G838" s="169"/>
      <c r="H838" s="168"/>
      <c r="I838" s="168"/>
      <c r="J838" s="168"/>
      <c r="K838" s="170"/>
      <c r="N838" s="1"/>
      <c r="O838" s="1"/>
      <c r="P838" s="1"/>
      <c r="Q838" s="1"/>
      <c r="R838" s="1"/>
      <c r="S838" s="1"/>
    </row>
    <row r="839" spans="1:19" s="62" customFormat="1">
      <c r="A839" s="1"/>
      <c r="B839" s="171" t="s">
        <v>109</v>
      </c>
      <c r="C839" s="168"/>
      <c r="D839" s="140"/>
      <c r="E839" s="168"/>
      <c r="F839" s="168"/>
      <c r="G839" s="169"/>
      <c r="H839" s="168"/>
      <c r="I839" s="168"/>
      <c r="J839" s="168"/>
      <c r="K839" s="170"/>
      <c r="N839" s="1"/>
      <c r="O839" s="1"/>
      <c r="P839" s="1"/>
      <c r="Q839" s="1"/>
      <c r="R839" s="1"/>
      <c r="S839" s="1"/>
    </row>
    <row r="840" spans="1:19" s="62" customFormat="1">
      <c r="A840" s="1"/>
      <c r="B840" s="171" t="s">
        <v>111</v>
      </c>
      <c r="C840" s="168"/>
      <c r="D840" s="140"/>
      <c r="E840" s="168"/>
      <c r="F840" s="168"/>
      <c r="G840" s="169"/>
      <c r="H840" s="168"/>
      <c r="I840" s="168"/>
      <c r="J840" s="168"/>
      <c r="K840" s="170"/>
      <c r="N840" s="1"/>
      <c r="O840" s="1"/>
      <c r="P840" s="1"/>
      <c r="Q840" s="1"/>
      <c r="R840" s="1"/>
      <c r="S840" s="1"/>
    </row>
    <row r="841" spans="1:19" s="62" customFormat="1">
      <c r="A841" s="1"/>
      <c r="B841" s="221" t="s">
        <v>46</v>
      </c>
      <c r="C841" s="222"/>
      <c r="D841" s="223"/>
      <c r="E841" s="222">
        <f>+E842+E853</f>
        <v>0.26400000000000001</v>
      </c>
      <c r="F841" s="222"/>
      <c r="G841" s="223"/>
      <c r="H841" s="222">
        <f>+H842+H853</f>
        <v>0.67359999999999998</v>
      </c>
      <c r="I841" s="224">
        <f t="shared" si="27"/>
        <v>0.40959999999999996</v>
      </c>
      <c r="J841" s="225">
        <f t="shared" si="28"/>
        <v>60.807600950118754</v>
      </c>
      <c r="K841" s="226"/>
      <c r="N841" s="1"/>
      <c r="O841" s="1"/>
      <c r="P841" s="1"/>
      <c r="Q841" s="1"/>
      <c r="R841" s="1"/>
      <c r="S841" s="1"/>
    </row>
    <row r="842" spans="1:19" s="62" customFormat="1">
      <c r="A842" s="1"/>
      <c r="B842" s="179" t="s">
        <v>47</v>
      </c>
      <c r="C842" s="180"/>
      <c r="D842" s="181"/>
      <c r="E842" s="180">
        <f>+E844</f>
        <v>0.26400000000000001</v>
      </c>
      <c r="F842" s="180"/>
      <c r="G842" s="181"/>
      <c r="H842" s="180">
        <f>+H844</f>
        <v>0.67359999999999998</v>
      </c>
      <c r="I842" s="182">
        <f t="shared" si="27"/>
        <v>0.40959999999999996</v>
      </c>
      <c r="J842" s="183">
        <f t="shared" si="28"/>
        <v>60.807600950118754</v>
      </c>
      <c r="K842" s="184"/>
      <c r="N842" s="1"/>
      <c r="O842" s="1"/>
      <c r="P842" s="1"/>
      <c r="Q842" s="1"/>
      <c r="R842" s="1"/>
      <c r="S842" s="1"/>
    </row>
    <row r="843" spans="1:19" s="62" customFormat="1">
      <c r="A843" s="1"/>
      <c r="B843" s="167" t="s">
        <v>19</v>
      </c>
      <c r="C843" s="168"/>
      <c r="D843" s="140"/>
      <c r="E843" s="168"/>
      <c r="F843" s="168"/>
      <c r="G843" s="169"/>
      <c r="H843" s="168"/>
      <c r="I843" s="168"/>
      <c r="J843" s="168"/>
      <c r="K843" s="170"/>
      <c r="N843" s="1"/>
      <c r="O843" s="1"/>
      <c r="P843" s="1"/>
      <c r="Q843" s="1"/>
      <c r="R843" s="1"/>
      <c r="S843" s="1"/>
    </row>
    <row r="844" spans="1:19" s="62" customFormat="1">
      <c r="A844" s="1"/>
      <c r="B844" s="216" t="s">
        <v>110</v>
      </c>
      <c r="C844" s="133"/>
      <c r="D844" s="134"/>
      <c r="E844" s="133">
        <v>0.26400000000000001</v>
      </c>
      <c r="F844" s="133"/>
      <c r="G844" s="134"/>
      <c r="H844" s="133">
        <v>0.67359999999999998</v>
      </c>
      <c r="I844" s="182">
        <f t="shared" si="27"/>
        <v>0.40959999999999996</v>
      </c>
      <c r="J844" s="183">
        <f t="shared" si="28"/>
        <v>60.807600950118754</v>
      </c>
      <c r="K844" s="137"/>
      <c r="N844" s="1"/>
      <c r="O844" s="1"/>
      <c r="P844" s="1"/>
      <c r="Q844" s="1"/>
      <c r="R844" s="1"/>
      <c r="S844" s="1"/>
    </row>
    <row r="845" spans="1:19" s="62" customFormat="1">
      <c r="A845" s="1"/>
      <c r="B845" s="171" t="s">
        <v>17</v>
      </c>
      <c r="C845" s="168"/>
      <c r="D845" s="140"/>
      <c r="E845" s="168"/>
      <c r="F845" s="168"/>
      <c r="G845" s="169"/>
      <c r="H845" s="168"/>
      <c r="I845" s="141"/>
      <c r="J845" s="142"/>
      <c r="K845" s="170"/>
      <c r="N845" s="1"/>
      <c r="O845" s="1"/>
      <c r="P845" s="1"/>
      <c r="Q845" s="1"/>
      <c r="R845" s="1"/>
      <c r="S845" s="1"/>
    </row>
    <row r="846" spans="1:19" s="62" customFormat="1">
      <c r="A846" s="1"/>
      <c r="B846" s="171" t="s">
        <v>18</v>
      </c>
      <c r="C846" s="168"/>
      <c r="D846" s="140"/>
      <c r="E846" s="168"/>
      <c r="F846" s="168"/>
      <c r="G846" s="169"/>
      <c r="H846" s="168"/>
      <c r="I846" s="141"/>
      <c r="J846" s="142"/>
      <c r="K846" s="170"/>
      <c r="N846" s="1"/>
      <c r="O846" s="1"/>
      <c r="P846" s="1"/>
      <c r="Q846" s="1"/>
      <c r="R846" s="1"/>
      <c r="S846" s="1"/>
    </row>
    <row r="847" spans="1:19" s="62" customFormat="1">
      <c r="A847" s="1"/>
      <c r="B847" s="167" t="s">
        <v>22</v>
      </c>
      <c r="C847" s="168"/>
      <c r="D847" s="140"/>
      <c r="E847" s="168"/>
      <c r="F847" s="168"/>
      <c r="G847" s="169"/>
      <c r="H847" s="168"/>
      <c r="I847" s="141"/>
      <c r="J847" s="142"/>
      <c r="K847" s="170"/>
      <c r="N847" s="1"/>
      <c r="O847" s="1"/>
      <c r="P847" s="1"/>
      <c r="Q847" s="1"/>
      <c r="R847" s="1"/>
      <c r="S847" s="1"/>
    </row>
    <row r="848" spans="1:19" s="62" customFormat="1">
      <c r="A848" s="1"/>
      <c r="B848" s="167" t="s">
        <v>48</v>
      </c>
      <c r="C848" s="168"/>
      <c r="D848" s="140"/>
      <c r="E848" s="168"/>
      <c r="F848" s="168"/>
      <c r="G848" s="169"/>
      <c r="H848" s="168"/>
      <c r="I848" s="141"/>
      <c r="J848" s="142"/>
      <c r="K848" s="170"/>
      <c r="N848" s="1"/>
      <c r="O848" s="1"/>
      <c r="P848" s="1"/>
      <c r="Q848" s="1"/>
      <c r="R848" s="1"/>
      <c r="S848" s="1"/>
    </row>
    <row r="849" spans="1:19" s="62" customFormat="1">
      <c r="A849" s="1"/>
      <c r="B849" s="171" t="s">
        <v>23</v>
      </c>
      <c r="C849" s="168"/>
      <c r="D849" s="140"/>
      <c r="E849" s="168"/>
      <c r="F849" s="168"/>
      <c r="G849" s="169"/>
      <c r="H849" s="168"/>
      <c r="I849" s="141"/>
      <c r="J849" s="142"/>
      <c r="K849" s="170"/>
      <c r="N849" s="1"/>
      <c r="O849" s="1"/>
      <c r="P849" s="1"/>
      <c r="Q849" s="1"/>
      <c r="R849" s="1"/>
      <c r="S849" s="1"/>
    </row>
    <row r="850" spans="1:19" s="62" customFormat="1">
      <c r="A850" s="1"/>
      <c r="B850" s="167" t="s">
        <v>20</v>
      </c>
      <c r="C850" s="168"/>
      <c r="D850" s="140"/>
      <c r="E850" s="168"/>
      <c r="F850" s="168"/>
      <c r="G850" s="169"/>
      <c r="H850" s="168"/>
      <c r="I850" s="141"/>
      <c r="J850" s="142"/>
      <c r="K850" s="170"/>
      <c r="N850" s="1"/>
      <c r="O850" s="1"/>
      <c r="P850" s="1"/>
      <c r="Q850" s="1"/>
      <c r="R850" s="1"/>
      <c r="S850" s="1"/>
    </row>
    <row r="851" spans="1:19" s="62" customFormat="1">
      <c r="A851" s="1"/>
      <c r="B851" s="167" t="s">
        <v>48</v>
      </c>
      <c r="C851" s="168"/>
      <c r="D851" s="140"/>
      <c r="E851" s="168"/>
      <c r="F851" s="168"/>
      <c r="G851" s="169"/>
      <c r="H851" s="168"/>
      <c r="I851" s="141"/>
      <c r="J851" s="142"/>
      <c r="K851" s="170"/>
      <c r="N851" s="1"/>
      <c r="O851" s="1"/>
      <c r="P851" s="1"/>
      <c r="Q851" s="1"/>
      <c r="R851" s="1"/>
      <c r="S851" s="1"/>
    </row>
    <row r="852" spans="1:19" s="62" customFormat="1">
      <c r="A852" s="1"/>
      <c r="B852" s="171" t="s">
        <v>23</v>
      </c>
      <c r="C852" s="168"/>
      <c r="D852" s="140"/>
      <c r="E852" s="168"/>
      <c r="F852" s="168"/>
      <c r="G852" s="169"/>
      <c r="H852" s="168"/>
      <c r="I852" s="141"/>
      <c r="J852" s="142"/>
      <c r="K852" s="170"/>
      <c r="N852" s="1"/>
      <c r="O852" s="1"/>
      <c r="P852" s="1"/>
      <c r="Q852" s="1"/>
      <c r="R852" s="1"/>
      <c r="S852" s="1"/>
    </row>
    <row r="853" spans="1:19" s="62" customFormat="1">
      <c r="A853" s="1"/>
      <c r="B853" s="179" t="s">
        <v>49</v>
      </c>
      <c r="C853" s="180"/>
      <c r="D853" s="181"/>
      <c r="E853" s="180">
        <f>+E855</f>
        <v>0</v>
      </c>
      <c r="F853" s="180"/>
      <c r="G853" s="181"/>
      <c r="H853" s="180">
        <f>+H855</f>
        <v>0</v>
      </c>
      <c r="I853" s="182"/>
      <c r="J853" s="183"/>
      <c r="K853" s="184"/>
      <c r="N853" s="1"/>
      <c r="O853" s="1"/>
      <c r="P853" s="1"/>
      <c r="Q853" s="1"/>
      <c r="R853" s="1"/>
      <c r="S853" s="1"/>
    </row>
    <row r="854" spans="1:19" s="62" customFormat="1">
      <c r="A854" s="1"/>
      <c r="B854" s="167" t="s">
        <v>19</v>
      </c>
      <c r="C854" s="168"/>
      <c r="D854" s="140"/>
      <c r="E854" s="168"/>
      <c r="F854" s="168"/>
      <c r="G854" s="169"/>
      <c r="H854" s="168"/>
      <c r="I854" s="168"/>
      <c r="J854" s="168"/>
      <c r="K854" s="170"/>
      <c r="N854" s="1"/>
      <c r="O854" s="1"/>
      <c r="P854" s="1"/>
      <c r="Q854" s="1"/>
      <c r="R854" s="1"/>
      <c r="S854" s="1"/>
    </row>
    <row r="855" spans="1:19" s="62" customFormat="1">
      <c r="A855" s="1"/>
      <c r="B855" s="216" t="s">
        <v>50</v>
      </c>
      <c r="C855" s="133"/>
      <c r="D855" s="134"/>
      <c r="E855" s="133"/>
      <c r="F855" s="133"/>
      <c r="G855" s="134"/>
      <c r="H855" s="133"/>
      <c r="I855" s="133"/>
      <c r="J855" s="133"/>
      <c r="K855" s="137"/>
      <c r="N855" s="1"/>
      <c r="O855" s="1"/>
      <c r="P855" s="1"/>
      <c r="Q855" s="1"/>
      <c r="R855" s="1"/>
      <c r="S855" s="1"/>
    </row>
    <row r="856" spans="1:19" s="62" customFormat="1" ht="27.75" customHeight="1">
      <c r="A856" s="16"/>
      <c r="B856" s="171" t="s">
        <v>17</v>
      </c>
      <c r="C856" s="168"/>
      <c r="D856" s="140"/>
      <c r="E856" s="168"/>
      <c r="F856" s="168"/>
      <c r="G856" s="169"/>
      <c r="H856" s="168"/>
      <c r="I856" s="141"/>
      <c r="J856" s="142"/>
      <c r="K856" s="170"/>
      <c r="N856" s="1"/>
      <c r="O856" s="1"/>
      <c r="P856" s="1"/>
      <c r="Q856" s="1"/>
      <c r="R856" s="1"/>
      <c r="S856" s="1"/>
    </row>
    <row r="857" spans="1:19" s="62" customFormat="1" ht="27.75" customHeight="1">
      <c r="A857" s="1"/>
      <c r="B857" s="171" t="s">
        <v>18</v>
      </c>
      <c r="C857" s="168"/>
      <c r="D857" s="140"/>
      <c r="E857" s="168"/>
      <c r="F857" s="168"/>
      <c r="G857" s="169"/>
      <c r="H857" s="168"/>
      <c r="I857" s="141"/>
      <c r="J857" s="142"/>
      <c r="K857" s="170"/>
      <c r="N857" s="1"/>
      <c r="O857" s="1"/>
      <c r="P857" s="1"/>
      <c r="Q857" s="1"/>
      <c r="R857" s="1"/>
      <c r="S857" s="1"/>
    </row>
    <row r="858" spans="1:19" s="62" customFormat="1">
      <c r="A858" s="1"/>
      <c r="B858" s="167" t="s">
        <v>22</v>
      </c>
      <c r="C858" s="168"/>
      <c r="D858" s="140"/>
      <c r="E858" s="168"/>
      <c r="F858" s="168"/>
      <c r="G858" s="169"/>
      <c r="H858" s="168"/>
      <c r="I858" s="141"/>
      <c r="J858" s="142"/>
      <c r="K858" s="170"/>
      <c r="N858" s="1"/>
      <c r="O858" s="1"/>
      <c r="P858" s="1"/>
      <c r="Q858" s="1"/>
      <c r="R858" s="1"/>
      <c r="S858" s="1"/>
    </row>
    <row r="859" spans="1:19" s="62" customFormat="1">
      <c r="A859" s="1"/>
      <c r="B859" s="167" t="s">
        <v>51</v>
      </c>
      <c r="C859" s="168"/>
      <c r="D859" s="140"/>
      <c r="E859" s="168"/>
      <c r="F859" s="168"/>
      <c r="G859" s="169"/>
      <c r="H859" s="168"/>
      <c r="I859" s="141"/>
      <c r="J859" s="142"/>
      <c r="K859" s="170"/>
      <c r="N859" s="1"/>
      <c r="O859" s="1"/>
      <c r="P859" s="1"/>
      <c r="Q859" s="1"/>
      <c r="R859" s="1"/>
      <c r="S859" s="1"/>
    </row>
    <row r="860" spans="1:19" s="62" customFormat="1">
      <c r="A860" s="1"/>
      <c r="B860" s="171" t="s">
        <v>23</v>
      </c>
      <c r="C860" s="168"/>
      <c r="D860" s="140"/>
      <c r="E860" s="168"/>
      <c r="F860" s="168"/>
      <c r="G860" s="169"/>
      <c r="H860" s="168"/>
      <c r="I860" s="141"/>
      <c r="J860" s="142"/>
      <c r="K860" s="170"/>
      <c r="N860" s="1"/>
      <c r="O860" s="1"/>
      <c r="P860" s="1"/>
      <c r="Q860" s="1"/>
      <c r="R860" s="1"/>
      <c r="S860" s="1"/>
    </row>
    <row r="861" spans="1:19" s="62" customFormat="1">
      <c r="A861" s="1"/>
      <c r="B861" s="167" t="s">
        <v>20</v>
      </c>
      <c r="C861" s="168"/>
      <c r="D861" s="140"/>
      <c r="E861" s="168"/>
      <c r="F861" s="168"/>
      <c r="G861" s="169"/>
      <c r="H861" s="168"/>
      <c r="I861" s="141"/>
      <c r="J861" s="142"/>
      <c r="K861" s="170"/>
      <c r="N861" s="1"/>
      <c r="O861" s="1"/>
      <c r="P861" s="1"/>
      <c r="Q861" s="1"/>
      <c r="R861" s="1"/>
      <c r="S861" s="1"/>
    </row>
    <row r="862" spans="1:19" s="62" customFormat="1">
      <c r="A862" s="1"/>
      <c r="B862" s="167" t="s">
        <v>51</v>
      </c>
      <c r="C862" s="168"/>
      <c r="D862" s="140"/>
      <c r="E862" s="168"/>
      <c r="F862" s="168"/>
      <c r="G862" s="169"/>
      <c r="H862" s="168"/>
      <c r="I862" s="141"/>
      <c r="J862" s="142"/>
      <c r="K862" s="170"/>
      <c r="N862" s="1"/>
      <c r="O862" s="1"/>
      <c r="P862" s="1"/>
      <c r="Q862" s="1"/>
      <c r="R862" s="1"/>
      <c r="S862" s="1"/>
    </row>
    <row r="863" spans="1:19" s="62" customFormat="1">
      <c r="A863" s="1"/>
      <c r="B863" s="171" t="s">
        <v>23</v>
      </c>
      <c r="C863" s="168"/>
      <c r="D863" s="140"/>
      <c r="E863" s="168"/>
      <c r="F863" s="168"/>
      <c r="G863" s="169"/>
      <c r="H863" s="168"/>
      <c r="I863" s="141"/>
      <c r="J863" s="142"/>
      <c r="K863" s="170"/>
      <c r="N863" s="1"/>
      <c r="O863" s="1"/>
      <c r="P863" s="1"/>
      <c r="Q863" s="1"/>
      <c r="R863" s="1"/>
      <c r="S863" s="1"/>
    </row>
    <row r="864" spans="1:19" s="62" customFormat="1">
      <c r="A864" s="1"/>
      <c r="B864" s="216" t="s">
        <v>53</v>
      </c>
      <c r="C864" s="133"/>
      <c r="D864" s="134"/>
      <c r="E864" s="133">
        <f>+E866</f>
        <v>113.82</v>
      </c>
      <c r="F864" s="133"/>
      <c r="G864" s="134"/>
      <c r="H864" s="133">
        <f>+H866</f>
        <v>120</v>
      </c>
      <c r="I864" s="135">
        <f t="shared" si="27"/>
        <v>6.1800000000000068</v>
      </c>
      <c r="J864" s="136">
        <f t="shared" si="28"/>
        <v>5.1500000000000057</v>
      </c>
      <c r="K864" s="137"/>
      <c r="N864" s="1"/>
      <c r="O864" s="1"/>
      <c r="P864" s="1"/>
      <c r="Q864" s="1"/>
      <c r="R864" s="1"/>
      <c r="S864" s="1"/>
    </row>
    <row r="865" spans="1:19" s="62" customFormat="1">
      <c r="A865" s="1"/>
      <c r="B865" s="167" t="s">
        <v>52</v>
      </c>
      <c r="C865" s="168"/>
      <c r="D865" s="140"/>
      <c r="E865" s="168"/>
      <c r="F865" s="168"/>
      <c r="G865" s="169"/>
      <c r="H865" s="168"/>
      <c r="I865" s="168"/>
      <c r="J865" s="168"/>
      <c r="K865" s="170"/>
      <c r="N865" s="1"/>
      <c r="O865" s="1"/>
      <c r="P865" s="1"/>
      <c r="Q865" s="1"/>
      <c r="R865" s="1"/>
      <c r="S865" s="1"/>
    </row>
    <row r="866" spans="1:19" s="62" customFormat="1" ht="76.5" customHeight="1">
      <c r="A866" s="1"/>
      <c r="B866" s="167" t="s">
        <v>154</v>
      </c>
      <c r="C866" s="168"/>
      <c r="D866" s="140"/>
      <c r="E866" s="168">
        <v>113.82</v>
      </c>
      <c r="F866" s="168"/>
      <c r="G866" s="169"/>
      <c r="H866" s="139">
        <v>120</v>
      </c>
      <c r="I866" s="141">
        <f t="shared" si="27"/>
        <v>6.1800000000000068</v>
      </c>
      <c r="J866" s="142">
        <f t="shared" si="28"/>
        <v>5.1500000000000057</v>
      </c>
      <c r="K866" s="167" t="s">
        <v>399</v>
      </c>
      <c r="N866" s="1"/>
      <c r="O866" s="1"/>
      <c r="P866" s="1"/>
      <c r="Q866" s="1"/>
      <c r="R866" s="1"/>
      <c r="S866" s="1"/>
    </row>
    <row r="867" spans="1:19" s="62" customFormat="1">
      <c r="A867" s="1"/>
      <c r="B867" s="185" t="s">
        <v>56</v>
      </c>
      <c r="C867" s="145"/>
      <c r="D867" s="146"/>
      <c r="E867" s="145">
        <f>SUM(E868:E868)</f>
        <v>0</v>
      </c>
      <c r="F867" s="145"/>
      <c r="G867" s="146"/>
      <c r="H867" s="145">
        <f>SUM(H868:H868)</f>
        <v>2.3574000000000002</v>
      </c>
      <c r="I867" s="147">
        <f t="shared" si="27"/>
        <v>2.3574000000000002</v>
      </c>
      <c r="J867" s="148">
        <f t="shared" si="28"/>
        <v>100</v>
      </c>
      <c r="K867" s="149"/>
      <c r="N867" s="1"/>
      <c r="O867" s="1"/>
      <c r="P867" s="1"/>
      <c r="Q867" s="1"/>
      <c r="R867" s="1"/>
      <c r="S867" s="1"/>
    </row>
    <row r="868" spans="1:19" s="62" customFormat="1" ht="25.5" customHeight="1">
      <c r="A868" s="1"/>
      <c r="B868" s="167" t="s">
        <v>235</v>
      </c>
      <c r="C868" s="168"/>
      <c r="D868" s="140"/>
      <c r="E868" s="168"/>
      <c r="F868" s="168"/>
      <c r="G868" s="169"/>
      <c r="H868" s="139">
        <v>2.3574000000000002</v>
      </c>
      <c r="I868" s="141">
        <f t="shared" ref="I868:I921" si="29">+H868-E868</f>
        <v>2.3574000000000002</v>
      </c>
      <c r="J868" s="142">
        <f t="shared" ref="J868:J921" si="30">+I868*100/H868</f>
        <v>100</v>
      </c>
      <c r="K868" s="244" t="s">
        <v>242</v>
      </c>
      <c r="N868" s="1"/>
      <c r="O868" s="1"/>
      <c r="P868" s="1"/>
      <c r="Q868" s="1"/>
      <c r="R868" s="1"/>
      <c r="S868" s="1"/>
    </row>
    <row r="869" spans="1:19" s="62" customFormat="1" ht="93.75">
      <c r="A869" s="1"/>
      <c r="B869" s="167" t="s">
        <v>236</v>
      </c>
      <c r="C869" s="168"/>
      <c r="D869" s="140"/>
      <c r="E869" s="168"/>
      <c r="F869" s="168"/>
      <c r="G869" s="169"/>
      <c r="H869" s="139"/>
      <c r="I869" s="141"/>
      <c r="J869" s="142"/>
      <c r="K869" s="167" t="s">
        <v>239</v>
      </c>
      <c r="N869" s="1"/>
      <c r="O869" s="1"/>
      <c r="P869" s="1"/>
      <c r="Q869" s="1"/>
      <c r="R869" s="1"/>
      <c r="S869" s="1"/>
    </row>
    <row r="870" spans="1:19" s="62" customFormat="1" ht="93.75">
      <c r="A870" s="1"/>
      <c r="B870" s="167" t="s">
        <v>237</v>
      </c>
      <c r="C870" s="168"/>
      <c r="D870" s="140"/>
      <c r="E870" s="168"/>
      <c r="F870" s="168"/>
      <c r="G870" s="169"/>
      <c r="H870" s="139"/>
      <c r="I870" s="141"/>
      <c r="J870" s="142"/>
      <c r="K870" s="167" t="s">
        <v>240</v>
      </c>
      <c r="N870" s="1"/>
      <c r="O870" s="1"/>
      <c r="P870" s="1"/>
      <c r="Q870" s="1"/>
      <c r="R870" s="1"/>
      <c r="S870" s="1"/>
    </row>
    <row r="871" spans="1:19" s="62" customFormat="1" ht="37.5">
      <c r="A871" s="1"/>
      <c r="B871" s="167" t="s">
        <v>238</v>
      </c>
      <c r="C871" s="168"/>
      <c r="D871" s="140"/>
      <c r="E871" s="168"/>
      <c r="F871" s="168"/>
      <c r="G871" s="169"/>
      <c r="H871" s="139"/>
      <c r="I871" s="141"/>
      <c r="J871" s="142"/>
      <c r="K871" s="167" t="s">
        <v>241</v>
      </c>
      <c r="N871" s="1"/>
      <c r="O871" s="1"/>
      <c r="P871" s="1"/>
      <c r="Q871" s="1"/>
      <c r="R871" s="1"/>
      <c r="S871" s="1"/>
    </row>
    <row r="872" spans="1:19" s="62" customFormat="1">
      <c r="A872" s="1"/>
      <c r="B872" s="167"/>
      <c r="C872" s="168"/>
      <c r="D872" s="140"/>
      <c r="E872" s="168"/>
      <c r="F872" s="168"/>
      <c r="G872" s="169"/>
      <c r="H872" s="139"/>
      <c r="I872" s="141"/>
      <c r="J872" s="142"/>
      <c r="K872" s="170"/>
      <c r="N872" s="1"/>
      <c r="O872" s="1"/>
      <c r="P872" s="1"/>
      <c r="Q872" s="1"/>
      <c r="R872" s="1"/>
      <c r="S872" s="1"/>
    </row>
    <row r="873" spans="1:19" s="62" customFormat="1" ht="45" customHeight="1">
      <c r="A873" s="16"/>
      <c r="B873" s="209" t="s">
        <v>183</v>
      </c>
      <c r="C873" s="210"/>
      <c r="D873" s="211"/>
      <c r="E873" s="210">
        <f>+E875+E914+E939+E942</f>
        <v>18.815199999999997</v>
      </c>
      <c r="F873" s="210"/>
      <c r="G873" s="211"/>
      <c r="H873" s="258">
        <f>+H875+H914+H939+H942</f>
        <v>47.005299999999998</v>
      </c>
      <c r="I873" s="212">
        <f t="shared" si="29"/>
        <v>28.190100000000001</v>
      </c>
      <c r="J873" s="213">
        <f t="shared" si="30"/>
        <v>59.972173350664718</v>
      </c>
      <c r="K873" s="214"/>
      <c r="N873" s="1"/>
      <c r="O873" s="1"/>
      <c r="P873" s="1"/>
      <c r="Q873" s="1"/>
      <c r="R873" s="1"/>
      <c r="S873" s="1"/>
    </row>
    <row r="874" spans="1:19" s="62" customFormat="1" ht="27.75" customHeight="1">
      <c r="A874" s="1"/>
      <c r="B874" s="215" t="s">
        <v>94</v>
      </c>
      <c r="C874" s="168"/>
      <c r="D874" s="169"/>
      <c r="E874" s="172"/>
      <c r="F874" s="139"/>
      <c r="G874" s="140"/>
      <c r="H874" s="172"/>
      <c r="I874" s="141">
        <f t="shared" si="29"/>
        <v>0</v>
      </c>
      <c r="J874" s="142"/>
      <c r="K874" s="143"/>
      <c r="N874" s="1"/>
      <c r="O874" s="1"/>
      <c r="P874" s="1"/>
      <c r="Q874" s="1"/>
      <c r="R874" s="1"/>
      <c r="S874" s="1"/>
    </row>
    <row r="875" spans="1:19" s="62" customFormat="1">
      <c r="A875" s="1"/>
      <c r="B875" s="177" t="s">
        <v>38</v>
      </c>
      <c r="C875" s="121"/>
      <c r="D875" s="122"/>
      <c r="E875" s="121">
        <f>+E876+E905</f>
        <v>9.7199999999999989</v>
      </c>
      <c r="F875" s="121"/>
      <c r="G875" s="122"/>
      <c r="H875" s="121">
        <f>+H876+H905</f>
        <v>22.671599999999998</v>
      </c>
      <c r="I875" s="123">
        <f t="shared" si="29"/>
        <v>12.951599999999999</v>
      </c>
      <c r="J875" s="124">
        <f t="shared" si="30"/>
        <v>57.126978245911182</v>
      </c>
      <c r="K875" s="125"/>
      <c r="N875" s="1"/>
      <c r="O875" s="1"/>
      <c r="P875" s="1"/>
      <c r="Q875" s="1"/>
      <c r="R875" s="1"/>
      <c r="S875" s="1"/>
    </row>
    <row r="876" spans="1:19" s="62" customFormat="1">
      <c r="A876" s="1"/>
      <c r="B876" s="179" t="s">
        <v>41</v>
      </c>
      <c r="C876" s="180"/>
      <c r="D876" s="181"/>
      <c r="E876" s="180">
        <f>+E877+E881+E901</f>
        <v>6.17</v>
      </c>
      <c r="F876" s="180"/>
      <c r="G876" s="181"/>
      <c r="H876" s="180">
        <f>+H877+H881+H901</f>
        <v>15.385599999999998</v>
      </c>
      <c r="I876" s="182">
        <f t="shared" si="29"/>
        <v>9.2155999999999985</v>
      </c>
      <c r="J876" s="183">
        <f t="shared" si="30"/>
        <v>59.897566555740426</v>
      </c>
      <c r="K876" s="184"/>
      <c r="N876" s="1"/>
      <c r="O876" s="1"/>
      <c r="P876" s="1"/>
      <c r="Q876" s="1"/>
      <c r="R876" s="1"/>
      <c r="S876" s="1"/>
    </row>
    <row r="877" spans="1:19" s="62" customFormat="1">
      <c r="A877" s="1"/>
      <c r="B877" s="216" t="s">
        <v>42</v>
      </c>
      <c r="C877" s="133"/>
      <c r="D877" s="134"/>
      <c r="E877" s="133">
        <f>SUM(E878:E879)</f>
        <v>0</v>
      </c>
      <c r="F877" s="133"/>
      <c r="G877" s="134"/>
      <c r="H877" s="133">
        <f>SUM(H878:H879)</f>
        <v>0</v>
      </c>
      <c r="I877" s="135"/>
      <c r="J877" s="136"/>
      <c r="K877" s="137"/>
      <c r="N877" s="1"/>
      <c r="O877" s="1"/>
      <c r="P877" s="1"/>
      <c r="Q877" s="1"/>
      <c r="R877" s="1"/>
      <c r="S877" s="1"/>
    </row>
    <row r="878" spans="1:19" s="62" customFormat="1">
      <c r="A878" s="1"/>
      <c r="B878" s="171" t="s">
        <v>112</v>
      </c>
      <c r="C878" s="168"/>
      <c r="D878" s="140"/>
      <c r="E878" s="168"/>
      <c r="F878" s="168"/>
      <c r="G878" s="169"/>
      <c r="H878" s="139"/>
      <c r="I878" s="141"/>
      <c r="J878" s="142"/>
      <c r="K878" s="143"/>
      <c r="N878" s="1"/>
      <c r="O878" s="1"/>
      <c r="P878" s="1"/>
      <c r="Q878" s="1"/>
      <c r="R878" s="1"/>
      <c r="S878" s="1"/>
    </row>
    <row r="879" spans="1:19" s="62" customFormat="1">
      <c r="A879" s="1"/>
      <c r="B879" s="171" t="s">
        <v>149</v>
      </c>
      <c r="C879" s="168"/>
      <c r="D879" s="140"/>
      <c r="E879" s="168"/>
      <c r="F879" s="168"/>
      <c r="G879" s="169"/>
      <c r="H879" s="139"/>
      <c r="I879" s="141"/>
      <c r="J879" s="142"/>
      <c r="K879" s="143"/>
      <c r="N879" s="1"/>
      <c r="O879" s="1"/>
      <c r="P879" s="1"/>
      <c r="Q879" s="1"/>
      <c r="R879" s="1"/>
      <c r="S879" s="1"/>
    </row>
    <row r="880" spans="1:19" s="62" customFormat="1">
      <c r="A880" s="1"/>
      <c r="B880" s="171" t="s">
        <v>114</v>
      </c>
      <c r="C880" s="168"/>
      <c r="D880" s="140"/>
      <c r="E880" s="168"/>
      <c r="F880" s="168"/>
      <c r="G880" s="169"/>
      <c r="H880" s="139"/>
      <c r="I880" s="141"/>
      <c r="J880" s="142"/>
      <c r="K880" s="143"/>
      <c r="N880" s="1"/>
      <c r="O880" s="1"/>
      <c r="P880" s="1"/>
      <c r="Q880" s="1"/>
      <c r="R880" s="1"/>
      <c r="S880" s="1"/>
    </row>
    <row r="881" spans="1:19" s="62" customFormat="1">
      <c r="A881" s="1"/>
      <c r="B881" s="216" t="s">
        <v>43</v>
      </c>
      <c r="C881" s="133"/>
      <c r="D881" s="134"/>
      <c r="E881" s="133">
        <f>SUM(E883:E893)</f>
        <v>4.5</v>
      </c>
      <c r="F881" s="133"/>
      <c r="G881" s="134"/>
      <c r="H881" s="133">
        <f>SUM(H883:H893)</f>
        <v>12.385599999999998</v>
      </c>
      <c r="I881" s="135">
        <f t="shared" si="29"/>
        <v>7.8855999999999984</v>
      </c>
      <c r="J881" s="136">
        <f t="shared" si="30"/>
        <v>63.667484821082539</v>
      </c>
      <c r="K881" s="137"/>
      <c r="N881" s="1"/>
      <c r="O881" s="1"/>
      <c r="P881" s="1"/>
      <c r="Q881" s="1"/>
      <c r="R881" s="1"/>
      <c r="S881" s="1"/>
    </row>
    <row r="882" spans="1:19" s="62" customFormat="1">
      <c r="A882" s="1"/>
      <c r="B882" s="167" t="s">
        <v>19</v>
      </c>
      <c r="C882" s="168"/>
      <c r="D882" s="140"/>
      <c r="E882" s="168"/>
      <c r="F882" s="168"/>
      <c r="G882" s="169"/>
      <c r="H882" s="139"/>
      <c r="I882" s="141"/>
      <c r="J882" s="142"/>
      <c r="K882" s="170"/>
      <c r="N882" s="1"/>
      <c r="O882" s="1"/>
      <c r="P882" s="1"/>
      <c r="Q882" s="1"/>
      <c r="R882" s="1"/>
      <c r="S882" s="1"/>
    </row>
    <row r="883" spans="1:19" s="62" customFormat="1">
      <c r="A883" s="1"/>
      <c r="B883" s="171" t="s">
        <v>85</v>
      </c>
      <c r="C883" s="168"/>
      <c r="D883" s="140"/>
      <c r="E883" s="168"/>
      <c r="F883" s="168"/>
      <c r="G883" s="169"/>
      <c r="H883" s="139"/>
      <c r="I883" s="141"/>
      <c r="J883" s="142"/>
      <c r="K883" s="170"/>
      <c r="N883" s="1"/>
      <c r="O883" s="1"/>
      <c r="P883" s="1"/>
      <c r="Q883" s="1"/>
      <c r="R883" s="1"/>
      <c r="S883" s="1"/>
    </row>
    <row r="884" spans="1:19" s="62" customFormat="1">
      <c r="A884" s="1"/>
      <c r="B884" s="171" t="s">
        <v>151</v>
      </c>
      <c r="C884" s="168"/>
      <c r="D884" s="140"/>
      <c r="E884" s="168"/>
      <c r="F884" s="168"/>
      <c r="G884" s="169"/>
      <c r="H884" s="139"/>
      <c r="I884" s="141"/>
      <c r="J884" s="142"/>
      <c r="K884" s="170"/>
      <c r="N884" s="1"/>
      <c r="O884" s="1"/>
      <c r="P884" s="1"/>
      <c r="Q884" s="1"/>
      <c r="R884" s="1"/>
      <c r="S884" s="1"/>
    </row>
    <row r="885" spans="1:19" s="62" customFormat="1">
      <c r="A885" s="1"/>
      <c r="B885" s="171" t="s">
        <v>150</v>
      </c>
      <c r="C885" s="168"/>
      <c r="D885" s="140"/>
      <c r="E885" s="168"/>
      <c r="F885" s="168"/>
      <c r="G885" s="169"/>
      <c r="H885" s="139"/>
      <c r="I885" s="141"/>
      <c r="J885" s="142"/>
      <c r="K885" s="170"/>
      <c r="N885" s="1"/>
      <c r="O885" s="1"/>
      <c r="P885" s="1"/>
      <c r="Q885" s="1"/>
      <c r="R885" s="1"/>
      <c r="S885" s="1"/>
    </row>
    <row r="886" spans="1:19" s="62" customFormat="1">
      <c r="A886" s="1"/>
      <c r="B886" s="171" t="s">
        <v>84</v>
      </c>
      <c r="C886" s="168"/>
      <c r="D886" s="140"/>
      <c r="E886" s="168">
        <v>4.5</v>
      </c>
      <c r="F886" s="168"/>
      <c r="G886" s="169"/>
      <c r="H886" s="139">
        <f>3.43+8.562</f>
        <v>11.991999999999999</v>
      </c>
      <c r="I886" s="141">
        <f t="shared" si="29"/>
        <v>7.4919999999999991</v>
      </c>
      <c r="J886" s="142">
        <f t="shared" si="30"/>
        <v>62.474983322214811</v>
      </c>
      <c r="K886" s="170" t="s">
        <v>1014</v>
      </c>
      <c r="N886" s="1"/>
      <c r="O886" s="1"/>
      <c r="P886" s="1"/>
      <c r="Q886" s="1"/>
      <c r="R886" s="1"/>
      <c r="S886" s="1"/>
    </row>
    <row r="887" spans="1:19" s="62" customFormat="1">
      <c r="A887" s="1"/>
      <c r="B887" s="171"/>
      <c r="C887" s="168"/>
      <c r="D887" s="140"/>
      <c r="E887" s="168"/>
      <c r="F887" s="168"/>
      <c r="G887" s="169"/>
      <c r="H887" s="139"/>
      <c r="I887" s="141"/>
      <c r="J887" s="142"/>
      <c r="K887" s="170" t="s">
        <v>1015</v>
      </c>
      <c r="N887" s="1"/>
      <c r="O887" s="1"/>
      <c r="P887" s="1"/>
      <c r="Q887" s="1"/>
      <c r="R887" s="1"/>
      <c r="S887" s="1"/>
    </row>
    <row r="888" spans="1:19" s="62" customFormat="1">
      <c r="A888" s="1"/>
      <c r="B888" s="171"/>
      <c r="C888" s="168"/>
      <c r="D888" s="140"/>
      <c r="E888" s="168"/>
      <c r="F888" s="168"/>
      <c r="G888" s="169"/>
      <c r="H888" s="139"/>
      <c r="I888" s="141"/>
      <c r="J888" s="142"/>
      <c r="K888" s="170" t="s">
        <v>1016</v>
      </c>
      <c r="N888" s="1"/>
      <c r="O888" s="1"/>
      <c r="P888" s="1"/>
      <c r="Q888" s="1"/>
      <c r="R888" s="1"/>
      <c r="S888" s="1"/>
    </row>
    <row r="889" spans="1:19" s="62" customFormat="1">
      <c r="A889" s="1"/>
      <c r="B889" s="171"/>
      <c r="C889" s="168"/>
      <c r="D889" s="140"/>
      <c r="E889" s="168"/>
      <c r="F889" s="168"/>
      <c r="G889" s="169"/>
      <c r="H889" s="139"/>
      <c r="I889" s="141"/>
      <c r="J889" s="142"/>
      <c r="K889" s="170"/>
      <c r="N889" s="1"/>
      <c r="O889" s="1"/>
      <c r="P889" s="1"/>
      <c r="Q889" s="1"/>
      <c r="R889" s="1"/>
      <c r="S889" s="1"/>
    </row>
    <row r="890" spans="1:19" s="62" customFormat="1">
      <c r="A890" s="1"/>
      <c r="B890" s="171" t="s">
        <v>152</v>
      </c>
      <c r="C890" s="168"/>
      <c r="D890" s="140"/>
      <c r="E890" s="168"/>
      <c r="F890" s="168"/>
      <c r="G890" s="169"/>
      <c r="H890" s="139"/>
      <c r="I890" s="141"/>
      <c r="J890" s="142"/>
      <c r="K890" s="170"/>
      <c r="N890" s="1"/>
      <c r="O890" s="1"/>
      <c r="P890" s="1"/>
      <c r="Q890" s="1"/>
      <c r="R890" s="1"/>
      <c r="S890" s="1"/>
    </row>
    <row r="891" spans="1:19" s="62" customFormat="1">
      <c r="A891" s="1"/>
      <c r="B891" s="171" t="s">
        <v>153</v>
      </c>
      <c r="C891" s="168"/>
      <c r="D891" s="140"/>
      <c r="E891" s="168"/>
      <c r="F891" s="168"/>
      <c r="G891" s="169"/>
      <c r="H891" s="139"/>
      <c r="I891" s="141"/>
      <c r="J891" s="142"/>
      <c r="K891" s="170"/>
      <c r="N891" s="1"/>
      <c r="O891" s="1"/>
      <c r="P891" s="1"/>
      <c r="Q891" s="1"/>
      <c r="R891" s="1"/>
      <c r="S891" s="1"/>
    </row>
    <row r="892" spans="1:19" s="62" customFormat="1">
      <c r="A892" s="1"/>
      <c r="B892" s="220" t="s">
        <v>1017</v>
      </c>
      <c r="C892" s="168"/>
      <c r="D892" s="140"/>
      <c r="E892" s="168"/>
      <c r="F892" s="168"/>
      <c r="G892" s="169"/>
      <c r="H892" s="193">
        <v>4.36E-2</v>
      </c>
      <c r="I892" s="141">
        <f t="shared" si="29"/>
        <v>4.36E-2</v>
      </c>
      <c r="J892" s="142">
        <f t="shared" si="30"/>
        <v>100.00000000000001</v>
      </c>
      <c r="K892" s="218" t="s">
        <v>1018</v>
      </c>
      <c r="N892" s="1"/>
      <c r="O892" s="1"/>
      <c r="P892" s="1"/>
      <c r="Q892" s="1"/>
      <c r="R892" s="1"/>
      <c r="S892" s="1"/>
    </row>
    <row r="893" spans="1:19" s="62" customFormat="1" ht="40.5">
      <c r="A893" s="1"/>
      <c r="B893" s="167" t="s">
        <v>69</v>
      </c>
      <c r="C893" s="168"/>
      <c r="D893" s="140"/>
      <c r="E893" s="168"/>
      <c r="F893" s="168"/>
      <c r="G893" s="169"/>
      <c r="H893" s="193">
        <v>0.35</v>
      </c>
      <c r="I893" s="141">
        <f t="shared" si="29"/>
        <v>0.35</v>
      </c>
      <c r="J893" s="142">
        <f t="shared" si="30"/>
        <v>100</v>
      </c>
      <c r="K893" s="170"/>
      <c r="N893" s="1"/>
      <c r="O893" s="1"/>
      <c r="P893" s="1"/>
      <c r="Q893" s="1"/>
      <c r="R893" s="1"/>
      <c r="S893" s="1"/>
    </row>
    <row r="894" spans="1:19" s="62" customFormat="1">
      <c r="A894" s="1"/>
      <c r="B894" s="171" t="s">
        <v>2</v>
      </c>
      <c r="C894" s="172"/>
      <c r="D894" s="173"/>
      <c r="E894" s="172"/>
      <c r="F894" s="168"/>
      <c r="G894" s="169"/>
      <c r="H894" s="172"/>
      <c r="I894" s="141"/>
      <c r="J894" s="142"/>
      <c r="K894" s="170"/>
      <c r="N894" s="1"/>
      <c r="O894" s="1"/>
      <c r="P894" s="1"/>
      <c r="Q894" s="1"/>
      <c r="R894" s="1"/>
      <c r="S894" s="1"/>
    </row>
    <row r="895" spans="1:19" s="62" customFormat="1">
      <c r="A895" s="1"/>
      <c r="B895" s="171" t="s">
        <v>3</v>
      </c>
      <c r="C895" s="172"/>
      <c r="D895" s="173"/>
      <c r="E895" s="172"/>
      <c r="F895" s="168"/>
      <c r="G895" s="169"/>
      <c r="H895" s="172"/>
      <c r="I895" s="141"/>
      <c r="J895" s="142"/>
      <c r="K895" s="170"/>
      <c r="N895" s="1"/>
      <c r="O895" s="1"/>
      <c r="P895" s="1"/>
      <c r="Q895" s="1"/>
      <c r="R895" s="1"/>
      <c r="S895" s="1"/>
    </row>
    <row r="896" spans="1:19" s="62" customFormat="1" ht="37.5">
      <c r="A896" s="1"/>
      <c r="B896" s="220" t="s">
        <v>1013</v>
      </c>
      <c r="C896" s="172"/>
      <c r="D896" s="173"/>
      <c r="E896" s="172"/>
      <c r="F896" s="168"/>
      <c r="G896" s="169"/>
      <c r="H896" s="172"/>
      <c r="I896" s="141"/>
      <c r="J896" s="142"/>
      <c r="K896" s="170"/>
      <c r="N896" s="1"/>
      <c r="O896" s="1"/>
      <c r="P896" s="1"/>
      <c r="Q896" s="1"/>
      <c r="R896" s="1"/>
      <c r="S896" s="1"/>
    </row>
    <row r="897" spans="1:19" s="62" customFormat="1">
      <c r="A897" s="1"/>
      <c r="B897" s="167" t="s">
        <v>22</v>
      </c>
      <c r="C897" s="168"/>
      <c r="D897" s="140"/>
      <c r="E897" s="168"/>
      <c r="F897" s="168"/>
      <c r="G897" s="169"/>
      <c r="H897" s="168"/>
      <c r="I897" s="141"/>
      <c r="J897" s="142"/>
      <c r="K897" s="170"/>
      <c r="N897" s="1"/>
      <c r="O897" s="1"/>
      <c r="P897" s="1"/>
      <c r="Q897" s="1"/>
      <c r="R897" s="1"/>
      <c r="S897" s="1"/>
    </row>
    <row r="898" spans="1:19" s="62" customFormat="1">
      <c r="A898" s="1"/>
      <c r="B898" s="171" t="s">
        <v>21</v>
      </c>
      <c r="C898" s="168"/>
      <c r="D898" s="140"/>
      <c r="E898" s="168"/>
      <c r="F898" s="168"/>
      <c r="G898" s="169"/>
      <c r="H898" s="168"/>
      <c r="I898" s="141"/>
      <c r="J898" s="142"/>
      <c r="K898" s="170"/>
      <c r="N898" s="1"/>
      <c r="O898" s="1"/>
      <c r="P898" s="1"/>
      <c r="Q898" s="1"/>
      <c r="R898" s="1"/>
      <c r="S898" s="1"/>
    </row>
    <row r="899" spans="1:19" s="62" customFormat="1">
      <c r="A899" s="1"/>
      <c r="B899" s="167" t="s">
        <v>20</v>
      </c>
      <c r="C899" s="168"/>
      <c r="D899" s="140"/>
      <c r="E899" s="168"/>
      <c r="F899" s="168"/>
      <c r="G899" s="169"/>
      <c r="H899" s="168"/>
      <c r="I899" s="141"/>
      <c r="J899" s="142"/>
      <c r="K899" s="170"/>
      <c r="N899" s="1"/>
      <c r="O899" s="1"/>
      <c r="P899" s="1"/>
      <c r="Q899" s="1"/>
      <c r="R899" s="1"/>
      <c r="S899" s="1"/>
    </row>
    <row r="900" spans="1:19" s="62" customFormat="1">
      <c r="A900" s="1"/>
      <c r="B900" s="171" t="s">
        <v>17</v>
      </c>
      <c r="C900" s="168"/>
      <c r="D900" s="140"/>
      <c r="E900" s="168"/>
      <c r="F900" s="168"/>
      <c r="G900" s="169"/>
      <c r="H900" s="168"/>
      <c r="I900" s="141"/>
      <c r="J900" s="142"/>
      <c r="K900" s="170"/>
      <c r="N900" s="1"/>
      <c r="O900" s="1"/>
      <c r="P900" s="1"/>
      <c r="Q900" s="1"/>
      <c r="R900" s="1"/>
      <c r="S900" s="1"/>
    </row>
    <row r="901" spans="1:19" s="62" customFormat="1">
      <c r="A901" s="1"/>
      <c r="B901" s="216" t="s">
        <v>44</v>
      </c>
      <c r="C901" s="133"/>
      <c r="D901" s="134"/>
      <c r="E901" s="133">
        <f>SUM(E902:E904)</f>
        <v>1.67</v>
      </c>
      <c r="F901" s="133"/>
      <c r="G901" s="134"/>
      <c r="H901" s="133">
        <f>SUM(H902:H904)</f>
        <v>3</v>
      </c>
      <c r="I901" s="135">
        <f t="shared" si="29"/>
        <v>1.33</v>
      </c>
      <c r="J901" s="136">
        <f t="shared" si="30"/>
        <v>44.333333333333336</v>
      </c>
      <c r="K901" s="137"/>
      <c r="N901" s="1"/>
      <c r="O901" s="1"/>
      <c r="P901" s="1"/>
      <c r="Q901" s="1"/>
      <c r="R901" s="1"/>
      <c r="S901" s="1"/>
    </row>
    <row r="902" spans="1:19" s="62" customFormat="1" ht="56.25">
      <c r="A902" s="1"/>
      <c r="B902" s="171" t="s">
        <v>184</v>
      </c>
      <c r="C902" s="168"/>
      <c r="D902" s="140"/>
      <c r="E902" s="168">
        <v>1.67</v>
      </c>
      <c r="F902" s="168"/>
      <c r="G902" s="169"/>
      <c r="H902" s="139">
        <v>3</v>
      </c>
      <c r="I902" s="141">
        <f t="shared" si="29"/>
        <v>1.33</v>
      </c>
      <c r="J902" s="142">
        <f t="shared" si="30"/>
        <v>44.333333333333336</v>
      </c>
      <c r="K902" s="167" t="s">
        <v>353</v>
      </c>
      <c r="N902" s="1"/>
      <c r="O902" s="1"/>
      <c r="P902" s="1"/>
      <c r="Q902" s="1"/>
      <c r="R902" s="1"/>
      <c r="S902" s="1"/>
    </row>
    <row r="903" spans="1:19" s="62" customFormat="1">
      <c r="A903" s="1"/>
      <c r="B903" s="171" t="s">
        <v>91</v>
      </c>
      <c r="C903" s="168"/>
      <c r="D903" s="140"/>
      <c r="E903" s="168"/>
      <c r="F903" s="168"/>
      <c r="G903" s="169"/>
      <c r="H903" s="139"/>
      <c r="I903" s="141"/>
      <c r="J903" s="142"/>
      <c r="K903" s="170"/>
      <c r="N903" s="1"/>
      <c r="O903" s="1"/>
      <c r="P903" s="1"/>
      <c r="Q903" s="1"/>
      <c r="R903" s="1"/>
      <c r="S903" s="1"/>
    </row>
    <row r="904" spans="1:19" s="62" customFormat="1">
      <c r="A904" s="1"/>
      <c r="B904" s="171" t="s">
        <v>135</v>
      </c>
      <c r="C904" s="168"/>
      <c r="D904" s="140"/>
      <c r="E904" s="168"/>
      <c r="F904" s="168"/>
      <c r="G904" s="169"/>
      <c r="H904" s="139"/>
      <c r="I904" s="141"/>
      <c r="J904" s="142"/>
      <c r="K904" s="170"/>
      <c r="N904" s="1"/>
      <c r="O904" s="1"/>
      <c r="P904" s="1"/>
      <c r="Q904" s="1"/>
      <c r="R904" s="1"/>
      <c r="S904" s="1"/>
    </row>
    <row r="905" spans="1:19" s="62" customFormat="1">
      <c r="A905" s="1"/>
      <c r="B905" s="179" t="s">
        <v>45</v>
      </c>
      <c r="C905" s="180"/>
      <c r="D905" s="181"/>
      <c r="E905" s="180">
        <f>SUM(E906:E913)</f>
        <v>3.55</v>
      </c>
      <c r="F905" s="180"/>
      <c r="G905" s="181"/>
      <c r="H905" s="180">
        <f>SUM(H906:H913)</f>
        <v>7.2859999999999996</v>
      </c>
      <c r="I905" s="182">
        <f t="shared" si="29"/>
        <v>3.7359999999999998</v>
      </c>
      <c r="J905" s="183">
        <f t="shared" si="30"/>
        <v>51.276420532528135</v>
      </c>
      <c r="K905" s="184"/>
      <c r="N905" s="1"/>
      <c r="O905" s="1"/>
      <c r="P905" s="1"/>
      <c r="Q905" s="1"/>
      <c r="R905" s="1"/>
      <c r="S905" s="1"/>
    </row>
    <row r="906" spans="1:19" s="62" customFormat="1">
      <c r="A906" s="1"/>
      <c r="B906" s="171" t="s">
        <v>185</v>
      </c>
      <c r="C906" s="168"/>
      <c r="D906" s="140"/>
      <c r="E906" s="168">
        <v>3.55</v>
      </c>
      <c r="F906" s="168"/>
      <c r="G906" s="169"/>
      <c r="H906" s="139">
        <v>7.2859999999999996</v>
      </c>
      <c r="I906" s="141">
        <f t="shared" si="29"/>
        <v>3.7359999999999998</v>
      </c>
      <c r="J906" s="142">
        <f t="shared" si="30"/>
        <v>51.276420532528135</v>
      </c>
      <c r="K906" s="167" t="s">
        <v>1009</v>
      </c>
      <c r="N906" s="1"/>
      <c r="O906" s="1"/>
      <c r="P906" s="1"/>
      <c r="Q906" s="1"/>
      <c r="R906" s="1"/>
      <c r="S906" s="1"/>
    </row>
    <row r="907" spans="1:19" s="62" customFormat="1" ht="56.25">
      <c r="A907" s="1"/>
      <c r="B907" s="171"/>
      <c r="C907" s="168"/>
      <c r="D907" s="140"/>
      <c r="E907" s="168"/>
      <c r="F907" s="168"/>
      <c r="G907" s="169"/>
      <c r="H907" s="139"/>
      <c r="I907" s="141"/>
      <c r="J907" s="142"/>
      <c r="K907" s="167" t="s">
        <v>1010</v>
      </c>
      <c r="N907" s="1"/>
      <c r="O907" s="1"/>
      <c r="P907" s="1"/>
      <c r="Q907" s="1"/>
      <c r="R907" s="1"/>
      <c r="S907" s="1"/>
    </row>
    <row r="908" spans="1:19" s="62" customFormat="1" ht="37.5">
      <c r="A908" s="1"/>
      <c r="B908" s="171"/>
      <c r="C908" s="168"/>
      <c r="D908" s="140"/>
      <c r="E908" s="168"/>
      <c r="F908" s="168"/>
      <c r="G908" s="169"/>
      <c r="H908" s="139"/>
      <c r="I908" s="141"/>
      <c r="J908" s="142"/>
      <c r="K908" s="167" t="s">
        <v>1011</v>
      </c>
      <c r="N908" s="1"/>
      <c r="O908" s="1"/>
      <c r="P908" s="1"/>
      <c r="Q908" s="1"/>
      <c r="R908" s="1"/>
      <c r="S908" s="1"/>
    </row>
    <row r="909" spans="1:19" s="62" customFormat="1" ht="37.5">
      <c r="A909" s="1"/>
      <c r="B909" s="171"/>
      <c r="C909" s="168"/>
      <c r="D909" s="140"/>
      <c r="E909" s="168"/>
      <c r="F909" s="168"/>
      <c r="G909" s="169"/>
      <c r="H909" s="139"/>
      <c r="I909" s="141"/>
      <c r="J909" s="142"/>
      <c r="K909" s="167" t="s">
        <v>1012</v>
      </c>
      <c r="N909" s="1"/>
      <c r="O909" s="1"/>
      <c r="P909" s="1"/>
      <c r="Q909" s="1"/>
      <c r="R909" s="1"/>
      <c r="S909" s="1"/>
    </row>
    <row r="910" spans="1:19" s="62" customFormat="1">
      <c r="A910" s="1"/>
      <c r="B910" s="171" t="s">
        <v>107</v>
      </c>
      <c r="C910" s="168"/>
      <c r="D910" s="140"/>
      <c r="E910" s="168"/>
      <c r="F910" s="168"/>
      <c r="G910" s="169"/>
      <c r="H910" s="139"/>
      <c r="I910" s="141"/>
      <c r="J910" s="142"/>
      <c r="K910" s="170"/>
      <c r="N910" s="1"/>
      <c r="O910" s="1"/>
      <c r="P910" s="1"/>
      <c r="Q910" s="1"/>
      <c r="R910" s="1"/>
      <c r="S910" s="1"/>
    </row>
    <row r="911" spans="1:19" s="62" customFormat="1">
      <c r="A911" s="1"/>
      <c r="B911" s="171" t="s">
        <v>108</v>
      </c>
      <c r="C911" s="168"/>
      <c r="D911" s="140"/>
      <c r="E911" s="168"/>
      <c r="F911" s="168"/>
      <c r="G911" s="169"/>
      <c r="H911" s="139"/>
      <c r="I911" s="141"/>
      <c r="J911" s="142"/>
      <c r="K911" s="170"/>
      <c r="N911" s="1"/>
      <c r="O911" s="1"/>
      <c r="P911" s="1"/>
      <c r="Q911" s="1"/>
      <c r="R911" s="1"/>
      <c r="S911" s="1"/>
    </row>
    <row r="912" spans="1:19" s="62" customFormat="1">
      <c r="A912" s="1"/>
      <c r="B912" s="171" t="s">
        <v>109</v>
      </c>
      <c r="C912" s="168"/>
      <c r="D912" s="140"/>
      <c r="E912" s="168"/>
      <c r="F912" s="168"/>
      <c r="G912" s="169"/>
      <c r="H912" s="139"/>
      <c r="I912" s="141"/>
      <c r="J912" s="142"/>
      <c r="K912" s="170"/>
      <c r="N912" s="1"/>
      <c r="O912" s="1"/>
      <c r="P912" s="1"/>
      <c r="Q912" s="1"/>
      <c r="R912" s="1"/>
      <c r="S912" s="1"/>
    </row>
    <row r="913" spans="1:19" s="62" customFormat="1">
      <c r="A913" s="1"/>
      <c r="B913" s="171" t="s">
        <v>111</v>
      </c>
      <c r="C913" s="168"/>
      <c r="D913" s="140"/>
      <c r="E913" s="168"/>
      <c r="F913" s="168"/>
      <c r="G913" s="169"/>
      <c r="H913" s="139"/>
      <c r="I913" s="141"/>
      <c r="J913" s="142"/>
      <c r="K913" s="170"/>
      <c r="N913" s="1"/>
      <c r="O913" s="1"/>
      <c r="P913" s="1"/>
      <c r="Q913" s="1"/>
      <c r="R913" s="1"/>
      <c r="S913" s="1"/>
    </row>
    <row r="914" spans="1:19" s="62" customFormat="1">
      <c r="A914" s="1"/>
      <c r="B914" s="221" t="s">
        <v>46</v>
      </c>
      <c r="C914" s="222"/>
      <c r="D914" s="223"/>
      <c r="E914" s="222">
        <f>+E915+E928</f>
        <v>9.0952000000000002</v>
      </c>
      <c r="F914" s="222"/>
      <c r="G914" s="223"/>
      <c r="H914" s="222">
        <f>+H915+H928</f>
        <v>24.3337</v>
      </c>
      <c r="I914" s="224">
        <f t="shared" si="29"/>
        <v>15.2385</v>
      </c>
      <c r="J914" s="225">
        <f t="shared" si="30"/>
        <v>62.623028968056644</v>
      </c>
      <c r="K914" s="226"/>
      <c r="N914" s="1"/>
      <c r="O914" s="1"/>
      <c r="P914" s="1"/>
      <c r="Q914" s="1"/>
      <c r="R914" s="1"/>
      <c r="S914" s="1"/>
    </row>
    <row r="915" spans="1:19" s="62" customFormat="1">
      <c r="A915" s="1"/>
      <c r="B915" s="179" t="s">
        <v>47</v>
      </c>
      <c r="C915" s="180"/>
      <c r="D915" s="181"/>
      <c r="E915" s="180">
        <v>9.0952000000000002</v>
      </c>
      <c r="F915" s="180"/>
      <c r="G915" s="181"/>
      <c r="H915" s="180">
        <f>+H917</f>
        <v>24.3337</v>
      </c>
      <c r="I915" s="182">
        <f t="shared" si="29"/>
        <v>15.2385</v>
      </c>
      <c r="J915" s="183">
        <f t="shared" si="30"/>
        <v>62.623028968056644</v>
      </c>
      <c r="K915" s="184"/>
      <c r="N915" s="1"/>
      <c r="O915" s="1"/>
      <c r="P915" s="1"/>
      <c r="Q915" s="1"/>
      <c r="R915" s="1"/>
      <c r="S915" s="1"/>
    </row>
    <row r="916" spans="1:19" s="62" customFormat="1">
      <c r="A916" s="1"/>
      <c r="B916" s="167" t="s">
        <v>19</v>
      </c>
      <c r="C916" s="168"/>
      <c r="D916" s="140"/>
      <c r="E916" s="168"/>
      <c r="F916" s="168"/>
      <c r="G916" s="169"/>
      <c r="H916" s="139">
        <f>+H917</f>
        <v>24.3337</v>
      </c>
      <c r="I916" s="141">
        <f t="shared" si="29"/>
        <v>24.3337</v>
      </c>
      <c r="J916" s="142">
        <f t="shared" si="30"/>
        <v>100</v>
      </c>
      <c r="K916" s="170"/>
      <c r="N916" s="1"/>
      <c r="O916" s="1"/>
      <c r="P916" s="1"/>
      <c r="Q916" s="1"/>
      <c r="R916" s="1"/>
      <c r="S916" s="1"/>
    </row>
    <row r="917" spans="1:19" s="62" customFormat="1">
      <c r="A917" s="1"/>
      <c r="B917" s="216" t="s">
        <v>110</v>
      </c>
      <c r="C917" s="133"/>
      <c r="D917" s="134"/>
      <c r="E917" s="133"/>
      <c r="F917" s="133"/>
      <c r="G917" s="134"/>
      <c r="H917" s="133">
        <f>SUM(H918:H921)</f>
        <v>24.3337</v>
      </c>
      <c r="I917" s="135">
        <f t="shared" si="29"/>
        <v>24.3337</v>
      </c>
      <c r="J917" s="136">
        <f t="shared" si="30"/>
        <v>100</v>
      </c>
      <c r="K917" s="137"/>
      <c r="N917" s="1"/>
      <c r="O917" s="1"/>
      <c r="P917" s="1"/>
      <c r="Q917" s="1"/>
      <c r="R917" s="1"/>
      <c r="S917" s="1"/>
    </row>
    <row r="918" spans="1:19" s="62" customFormat="1" ht="37.5">
      <c r="A918" s="1"/>
      <c r="B918" s="171" t="s">
        <v>1019</v>
      </c>
      <c r="C918" s="168"/>
      <c r="D918" s="140"/>
      <c r="E918" s="168"/>
      <c r="F918" s="168"/>
      <c r="G918" s="169"/>
      <c r="H918" s="139">
        <v>3.55</v>
      </c>
      <c r="I918" s="141">
        <f t="shared" si="29"/>
        <v>3.55</v>
      </c>
      <c r="J918" s="142">
        <f t="shared" si="30"/>
        <v>100</v>
      </c>
      <c r="K918" s="143"/>
      <c r="N918" s="1"/>
      <c r="O918" s="1"/>
      <c r="P918" s="1"/>
      <c r="Q918" s="1"/>
      <c r="R918" s="1"/>
      <c r="S918" s="1"/>
    </row>
    <row r="919" spans="1:19" s="62" customFormat="1" ht="37.5">
      <c r="A919" s="1"/>
      <c r="B919" s="171" t="s">
        <v>1020</v>
      </c>
      <c r="C919" s="168"/>
      <c r="D919" s="140"/>
      <c r="E919" s="168"/>
      <c r="F919" s="168"/>
      <c r="G919" s="169"/>
      <c r="H919" s="139">
        <v>3.39</v>
      </c>
      <c r="I919" s="141">
        <f t="shared" si="29"/>
        <v>3.39</v>
      </c>
      <c r="J919" s="142">
        <f t="shared" si="30"/>
        <v>100</v>
      </c>
      <c r="K919" s="143"/>
      <c r="N919" s="1"/>
      <c r="O919" s="1"/>
      <c r="P919" s="1"/>
      <c r="Q919" s="1"/>
      <c r="R919" s="1"/>
      <c r="S919" s="1"/>
    </row>
    <row r="920" spans="1:19" s="62" customFormat="1">
      <c r="A920" s="1"/>
      <c r="B920" s="171" t="s">
        <v>1021</v>
      </c>
      <c r="C920" s="168"/>
      <c r="D920" s="140"/>
      <c r="E920" s="168"/>
      <c r="F920" s="168"/>
      <c r="G920" s="169"/>
      <c r="H920" s="261">
        <v>11.9999</v>
      </c>
      <c r="I920" s="141">
        <f t="shared" si="29"/>
        <v>11.9999</v>
      </c>
      <c r="J920" s="142">
        <f t="shared" si="30"/>
        <v>100</v>
      </c>
      <c r="K920" s="143"/>
      <c r="N920" s="1"/>
      <c r="O920" s="1"/>
      <c r="P920" s="1"/>
      <c r="Q920" s="1"/>
      <c r="R920" s="1"/>
      <c r="S920" s="1"/>
    </row>
    <row r="921" spans="1:19" s="62" customFormat="1">
      <c r="A921" s="1"/>
      <c r="B921" s="171" t="s">
        <v>1022</v>
      </c>
      <c r="C921" s="168"/>
      <c r="D921" s="140"/>
      <c r="E921" s="168"/>
      <c r="F921" s="168"/>
      <c r="G921" s="169"/>
      <c r="H921" s="139">
        <v>5.3937999999999997</v>
      </c>
      <c r="I921" s="141">
        <f t="shared" si="29"/>
        <v>5.3937999999999997</v>
      </c>
      <c r="J921" s="142">
        <f t="shared" si="30"/>
        <v>100</v>
      </c>
      <c r="K921" s="143"/>
      <c r="N921" s="1"/>
      <c r="O921" s="1"/>
      <c r="P921" s="1"/>
      <c r="Q921" s="1"/>
      <c r="R921" s="1"/>
      <c r="S921" s="1"/>
    </row>
    <row r="922" spans="1:19" s="62" customFormat="1">
      <c r="A922" s="1"/>
      <c r="B922" s="167" t="s">
        <v>22</v>
      </c>
      <c r="C922" s="168"/>
      <c r="D922" s="140"/>
      <c r="E922" s="168"/>
      <c r="F922" s="168"/>
      <c r="G922" s="169"/>
      <c r="H922" s="139"/>
      <c r="I922" s="141"/>
      <c r="J922" s="142"/>
      <c r="K922" s="143"/>
      <c r="N922" s="1"/>
      <c r="O922" s="1"/>
      <c r="P922" s="1"/>
      <c r="Q922" s="1"/>
      <c r="R922" s="1"/>
      <c r="S922" s="1"/>
    </row>
    <row r="923" spans="1:19" s="62" customFormat="1">
      <c r="A923" s="1"/>
      <c r="B923" s="167" t="s">
        <v>48</v>
      </c>
      <c r="C923" s="168"/>
      <c r="D923" s="140"/>
      <c r="E923" s="168"/>
      <c r="F923" s="168"/>
      <c r="G923" s="169"/>
      <c r="H923" s="139"/>
      <c r="I923" s="141"/>
      <c r="J923" s="142"/>
      <c r="K923" s="143"/>
      <c r="N923" s="1"/>
      <c r="O923" s="1"/>
      <c r="P923" s="1"/>
      <c r="Q923" s="1"/>
      <c r="R923" s="1"/>
      <c r="S923" s="1"/>
    </row>
    <row r="924" spans="1:19" s="62" customFormat="1">
      <c r="A924" s="1"/>
      <c r="B924" s="171" t="s">
        <v>23</v>
      </c>
      <c r="C924" s="168"/>
      <c r="D924" s="140"/>
      <c r="E924" s="168"/>
      <c r="F924" s="168"/>
      <c r="G924" s="169"/>
      <c r="H924" s="139"/>
      <c r="I924" s="141"/>
      <c r="J924" s="142"/>
      <c r="K924" s="143"/>
      <c r="N924" s="1"/>
      <c r="O924" s="1"/>
      <c r="P924" s="1"/>
      <c r="Q924" s="1"/>
      <c r="R924" s="1"/>
      <c r="S924" s="1"/>
    </row>
    <row r="925" spans="1:19" s="62" customFormat="1">
      <c r="A925" s="1"/>
      <c r="B925" s="167" t="s">
        <v>20</v>
      </c>
      <c r="C925" s="168"/>
      <c r="D925" s="140"/>
      <c r="E925" s="168"/>
      <c r="F925" s="168"/>
      <c r="G925" s="169"/>
      <c r="H925" s="139"/>
      <c r="I925" s="141"/>
      <c r="J925" s="142"/>
      <c r="K925" s="143"/>
      <c r="N925" s="1"/>
      <c r="O925" s="1"/>
      <c r="P925" s="1"/>
      <c r="Q925" s="1"/>
      <c r="R925" s="1"/>
      <c r="S925" s="1"/>
    </row>
    <row r="926" spans="1:19" s="62" customFormat="1">
      <c r="A926" s="1"/>
      <c r="B926" s="167" t="s">
        <v>48</v>
      </c>
      <c r="C926" s="168"/>
      <c r="D926" s="140"/>
      <c r="E926" s="168"/>
      <c r="F926" s="168"/>
      <c r="G926" s="169"/>
      <c r="H926" s="139"/>
      <c r="I926" s="141"/>
      <c r="J926" s="142"/>
      <c r="K926" s="143"/>
      <c r="N926" s="1"/>
      <c r="O926" s="1"/>
      <c r="P926" s="1"/>
      <c r="Q926" s="1"/>
      <c r="R926" s="1"/>
      <c r="S926" s="1"/>
    </row>
    <row r="927" spans="1:19" s="62" customFormat="1">
      <c r="A927" s="1"/>
      <c r="B927" s="171" t="s">
        <v>23</v>
      </c>
      <c r="C927" s="168"/>
      <c r="D927" s="140"/>
      <c r="E927" s="168"/>
      <c r="F927" s="168"/>
      <c r="G927" s="169"/>
      <c r="H927" s="139"/>
      <c r="I927" s="141"/>
      <c r="J927" s="142"/>
      <c r="K927" s="143"/>
      <c r="N927" s="1"/>
      <c r="O927" s="1"/>
      <c r="P927" s="1"/>
      <c r="Q927" s="1"/>
      <c r="R927" s="1"/>
      <c r="S927" s="1"/>
    </row>
    <row r="928" spans="1:19" s="62" customFormat="1">
      <c r="A928" s="1"/>
      <c r="B928" s="179" t="s">
        <v>49</v>
      </c>
      <c r="C928" s="180"/>
      <c r="D928" s="181"/>
      <c r="E928" s="180">
        <f>+E930</f>
        <v>0</v>
      </c>
      <c r="F928" s="180"/>
      <c r="G928" s="181"/>
      <c r="H928" s="180">
        <f>+H930</f>
        <v>0</v>
      </c>
      <c r="I928" s="182"/>
      <c r="J928" s="183"/>
      <c r="K928" s="184"/>
      <c r="N928" s="1"/>
      <c r="O928" s="1"/>
      <c r="P928" s="1"/>
      <c r="Q928" s="1"/>
      <c r="R928" s="1"/>
      <c r="S928" s="1"/>
    </row>
    <row r="929" spans="1:19" s="62" customFormat="1">
      <c r="A929" s="1"/>
      <c r="B929" s="167" t="s">
        <v>19</v>
      </c>
      <c r="C929" s="168"/>
      <c r="D929" s="140"/>
      <c r="E929" s="168"/>
      <c r="F929" s="168"/>
      <c r="G929" s="169"/>
      <c r="H929" s="168"/>
      <c r="I929" s="168"/>
      <c r="J929" s="168"/>
      <c r="K929" s="170"/>
      <c r="N929" s="1"/>
      <c r="O929" s="1"/>
      <c r="P929" s="1"/>
      <c r="Q929" s="1"/>
      <c r="R929" s="1"/>
      <c r="S929" s="1"/>
    </row>
    <row r="930" spans="1:19" s="62" customFormat="1">
      <c r="A930" s="1"/>
      <c r="B930" s="216" t="s">
        <v>50</v>
      </c>
      <c r="C930" s="133"/>
      <c r="D930" s="134"/>
      <c r="E930" s="133"/>
      <c r="F930" s="133"/>
      <c r="G930" s="134"/>
      <c r="H930" s="133"/>
      <c r="I930" s="137"/>
      <c r="J930" s="137"/>
      <c r="K930" s="137"/>
      <c r="N930" s="1"/>
      <c r="O930" s="1"/>
      <c r="P930" s="1"/>
      <c r="Q930" s="1"/>
      <c r="R930" s="1"/>
      <c r="S930" s="1"/>
    </row>
    <row r="931" spans="1:19" s="62" customFormat="1" ht="27.75" customHeight="1">
      <c r="A931" s="16"/>
      <c r="B931" s="171" t="s">
        <v>17</v>
      </c>
      <c r="C931" s="168"/>
      <c r="D931" s="140"/>
      <c r="E931" s="168"/>
      <c r="F931" s="168"/>
      <c r="G931" s="169"/>
      <c r="H931" s="139"/>
      <c r="I931" s="141"/>
      <c r="J931" s="142"/>
      <c r="K931" s="170"/>
      <c r="N931" s="1"/>
      <c r="O931" s="1"/>
      <c r="P931" s="1"/>
      <c r="Q931" s="1"/>
      <c r="R931" s="1"/>
      <c r="S931" s="1"/>
    </row>
    <row r="932" spans="1:19" s="62" customFormat="1" ht="27.75" customHeight="1">
      <c r="A932" s="1"/>
      <c r="B932" s="171" t="s">
        <v>18</v>
      </c>
      <c r="C932" s="168"/>
      <c r="D932" s="140"/>
      <c r="E932" s="168"/>
      <c r="F932" s="168"/>
      <c r="G932" s="169"/>
      <c r="H932" s="139"/>
      <c r="I932" s="141"/>
      <c r="J932" s="142"/>
      <c r="K932" s="170"/>
      <c r="N932" s="1"/>
      <c r="O932" s="1"/>
      <c r="P932" s="1"/>
      <c r="Q932" s="1"/>
      <c r="R932" s="1"/>
      <c r="S932" s="1"/>
    </row>
    <row r="933" spans="1:19" s="62" customFormat="1">
      <c r="A933" s="1"/>
      <c r="B933" s="167" t="s">
        <v>22</v>
      </c>
      <c r="C933" s="168"/>
      <c r="D933" s="140"/>
      <c r="E933" s="168"/>
      <c r="F933" s="168"/>
      <c r="G933" s="169"/>
      <c r="H933" s="139"/>
      <c r="I933" s="141"/>
      <c r="J933" s="142"/>
      <c r="K933" s="170"/>
      <c r="N933" s="1"/>
      <c r="O933" s="1"/>
      <c r="P933" s="1"/>
      <c r="Q933" s="1"/>
      <c r="R933" s="1"/>
      <c r="S933" s="1"/>
    </row>
    <row r="934" spans="1:19" s="62" customFormat="1">
      <c r="A934" s="1"/>
      <c r="B934" s="167" t="s">
        <v>51</v>
      </c>
      <c r="C934" s="168"/>
      <c r="D934" s="140"/>
      <c r="E934" s="168"/>
      <c r="F934" s="168"/>
      <c r="G934" s="169"/>
      <c r="H934" s="139"/>
      <c r="I934" s="141"/>
      <c r="J934" s="142"/>
      <c r="K934" s="170"/>
      <c r="N934" s="1"/>
      <c r="O934" s="1"/>
      <c r="P934" s="1"/>
      <c r="Q934" s="1"/>
      <c r="R934" s="1"/>
      <c r="S934" s="1"/>
    </row>
    <row r="935" spans="1:19" s="62" customFormat="1">
      <c r="A935" s="1"/>
      <c r="B935" s="171" t="s">
        <v>23</v>
      </c>
      <c r="C935" s="168"/>
      <c r="D935" s="140"/>
      <c r="E935" s="168"/>
      <c r="F935" s="168"/>
      <c r="G935" s="169"/>
      <c r="H935" s="139"/>
      <c r="I935" s="141"/>
      <c r="J935" s="142"/>
      <c r="K935" s="170"/>
      <c r="N935" s="1"/>
      <c r="O935" s="1"/>
      <c r="P935" s="1"/>
      <c r="Q935" s="1"/>
      <c r="R935" s="1"/>
      <c r="S935" s="1"/>
    </row>
    <row r="936" spans="1:19" s="62" customFormat="1">
      <c r="A936" s="1"/>
      <c r="B936" s="167" t="s">
        <v>20</v>
      </c>
      <c r="C936" s="168"/>
      <c r="D936" s="140"/>
      <c r="E936" s="168"/>
      <c r="F936" s="168"/>
      <c r="G936" s="169"/>
      <c r="H936" s="139"/>
      <c r="I936" s="141"/>
      <c r="J936" s="142"/>
      <c r="K936" s="170"/>
      <c r="N936" s="1"/>
      <c r="O936" s="1"/>
      <c r="P936" s="1"/>
      <c r="Q936" s="1"/>
      <c r="R936" s="1"/>
      <c r="S936" s="1"/>
    </row>
    <row r="937" spans="1:19" s="62" customFormat="1">
      <c r="A937" s="1"/>
      <c r="B937" s="167" t="s">
        <v>51</v>
      </c>
      <c r="C937" s="168"/>
      <c r="D937" s="140"/>
      <c r="E937" s="168"/>
      <c r="F937" s="168"/>
      <c r="G937" s="169"/>
      <c r="H937" s="139"/>
      <c r="I937" s="141"/>
      <c r="J937" s="142"/>
      <c r="K937" s="170"/>
      <c r="N937" s="1"/>
      <c r="O937" s="1"/>
      <c r="P937" s="1"/>
      <c r="Q937" s="1"/>
      <c r="R937" s="1"/>
      <c r="S937" s="1"/>
    </row>
    <row r="938" spans="1:19" s="62" customFormat="1">
      <c r="A938" s="1"/>
      <c r="B938" s="171" t="s">
        <v>23</v>
      </c>
      <c r="C938" s="168"/>
      <c r="D938" s="140"/>
      <c r="E938" s="168"/>
      <c r="F938" s="168"/>
      <c r="G938" s="169"/>
      <c r="H938" s="139"/>
      <c r="I938" s="141"/>
      <c r="J938" s="142"/>
      <c r="K938" s="170"/>
      <c r="N938" s="1"/>
      <c r="O938" s="1"/>
      <c r="P938" s="1"/>
      <c r="Q938" s="1"/>
      <c r="R938" s="1"/>
      <c r="S938" s="1"/>
    </row>
    <row r="939" spans="1:19">
      <c r="B939" s="216" t="s">
        <v>53</v>
      </c>
      <c r="C939" s="133"/>
      <c r="D939" s="134"/>
      <c r="E939" s="133">
        <f>+E941</f>
        <v>0</v>
      </c>
      <c r="F939" s="133"/>
      <c r="G939" s="134"/>
      <c r="H939" s="134"/>
      <c r="I939" s="134"/>
      <c r="J939" s="134"/>
      <c r="K939" s="137"/>
    </row>
    <row r="940" spans="1:19">
      <c r="B940" s="167" t="s">
        <v>52</v>
      </c>
      <c r="C940" s="168"/>
      <c r="D940" s="140"/>
      <c r="E940" s="168"/>
      <c r="F940" s="168"/>
      <c r="G940" s="169"/>
      <c r="H940" s="139"/>
      <c r="I940" s="141"/>
      <c r="J940" s="142"/>
      <c r="K940" s="170"/>
    </row>
    <row r="941" spans="1:19" ht="37.5">
      <c r="B941" s="167" t="s">
        <v>154</v>
      </c>
      <c r="C941" s="168"/>
      <c r="D941" s="140"/>
      <c r="E941" s="168"/>
      <c r="F941" s="168"/>
      <c r="G941" s="169"/>
      <c r="H941" s="139"/>
      <c r="I941" s="141"/>
      <c r="J941" s="142"/>
      <c r="K941" s="170"/>
    </row>
    <row r="942" spans="1:19">
      <c r="B942" s="185" t="s">
        <v>56</v>
      </c>
      <c r="C942" s="145"/>
      <c r="D942" s="146"/>
      <c r="E942" s="145">
        <f>SUM(E943:E943)</f>
        <v>0</v>
      </c>
      <c r="F942" s="145"/>
      <c r="G942" s="146"/>
      <c r="H942" s="145">
        <f>SUM(H943:H943)</f>
        <v>0</v>
      </c>
      <c r="I942" s="149"/>
      <c r="J942" s="149"/>
      <c r="K942" s="149"/>
    </row>
    <row r="943" spans="1:19">
      <c r="B943" s="167"/>
      <c r="C943" s="168"/>
      <c r="D943" s="140"/>
      <c r="E943" s="168"/>
      <c r="F943" s="168"/>
      <c r="G943" s="169"/>
      <c r="H943" s="168"/>
      <c r="I943" s="168"/>
      <c r="J943" s="168"/>
      <c r="K943" s="170"/>
    </row>
    <row r="944" spans="1:19" ht="27.75" customHeight="1">
      <c r="A944" s="16"/>
      <c r="B944" s="209" t="s">
        <v>187</v>
      </c>
      <c r="C944" s="210"/>
      <c r="D944" s="211"/>
      <c r="E944" s="210">
        <f>+E946+E1015+E1038+E1043</f>
        <v>569.99929999999995</v>
      </c>
      <c r="F944" s="210"/>
      <c r="G944" s="211"/>
      <c r="H944" s="258">
        <f>+H946+H1015+H1038+H1043</f>
        <v>1040.1316999999999</v>
      </c>
      <c r="I944" s="212">
        <f t="shared" ref="I944:I1007" si="31">+H944-E944</f>
        <v>470.13239999999996</v>
      </c>
      <c r="J944" s="213">
        <f t="shared" ref="J944:J1007" si="32">+I944*100/H944</f>
        <v>45.199314663710375</v>
      </c>
      <c r="K944" s="256"/>
      <c r="L944" s="86"/>
    </row>
    <row r="945" spans="1:19" ht="27.75" customHeight="1">
      <c r="B945" s="215" t="s">
        <v>94</v>
      </c>
      <c r="C945" s="168"/>
      <c r="D945" s="169"/>
      <c r="E945" s="172"/>
      <c r="F945" s="172"/>
      <c r="G945" s="173"/>
      <c r="H945" s="172"/>
      <c r="I945" s="143"/>
      <c r="J945" s="143"/>
      <c r="K945" s="143"/>
    </row>
    <row r="946" spans="1:19">
      <c r="B946" s="177" t="s">
        <v>38</v>
      </c>
      <c r="C946" s="121"/>
      <c r="D946" s="122"/>
      <c r="E946" s="121">
        <f>+E947+E1009</f>
        <v>173.91369999999998</v>
      </c>
      <c r="F946" s="121"/>
      <c r="G946" s="122"/>
      <c r="H946" s="121">
        <f>+H947+H1009</f>
        <v>317.3698</v>
      </c>
      <c r="I946" s="123">
        <f t="shared" si="31"/>
        <v>143.45610000000002</v>
      </c>
      <c r="J946" s="124">
        <f t="shared" si="32"/>
        <v>45.201559820751697</v>
      </c>
      <c r="K946" s="125"/>
    </row>
    <row r="947" spans="1:19">
      <c r="B947" s="179" t="s">
        <v>41</v>
      </c>
      <c r="C947" s="180"/>
      <c r="D947" s="181"/>
      <c r="E947" s="180">
        <f>+E948+E956+E993</f>
        <v>153.43709999999999</v>
      </c>
      <c r="F947" s="180"/>
      <c r="G947" s="181"/>
      <c r="H947" s="180">
        <f>+H948+H956+H993</f>
        <v>297.9658</v>
      </c>
      <c r="I947" s="182">
        <f t="shared" si="31"/>
        <v>144.52870000000001</v>
      </c>
      <c r="J947" s="183">
        <f t="shared" si="32"/>
        <v>48.505130454568949</v>
      </c>
      <c r="K947" s="184"/>
    </row>
    <row r="948" spans="1:19">
      <c r="B948" s="216" t="s">
        <v>42</v>
      </c>
      <c r="C948" s="133"/>
      <c r="D948" s="134"/>
      <c r="E948" s="133">
        <f>SUM(E949:E955)</f>
        <v>18.808500000000002</v>
      </c>
      <c r="F948" s="133"/>
      <c r="G948" s="134"/>
      <c r="H948" s="133">
        <f>SUM(H949:H955)</f>
        <v>29.244600000000002</v>
      </c>
      <c r="I948" s="135">
        <f t="shared" si="31"/>
        <v>10.4361</v>
      </c>
      <c r="J948" s="136">
        <f t="shared" si="32"/>
        <v>35.685562462813643</v>
      </c>
      <c r="K948" s="137"/>
    </row>
    <row r="949" spans="1:19" ht="37.5">
      <c r="B949" s="171" t="s">
        <v>1004</v>
      </c>
      <c r="C949" s="168"/>
      <c r="D949" s="140"/>
      <c r="E949" s="168">
        <v>2.8704000000000001</v>
      </c>
      <c r="F949" s="168"/>
      <c r="G949" s="169"/>
      <c r="H949" s="193">
        <v>0.9</v>
      </c>
      <c r="I949" s="141">
        <f t="shared" si="31"/>
        <v>-1.9704000000000002</v>
      </c>
      <c r="J949" s="142">
        <f t="shared" si="32"/>
        <v>-218.93333333333334</v>
      </c>
      <c r="K949" s="167" t="s">
        <v>1005</v>
      </c>
    </row>
    <row r="950" spans="1:19" ht="37.5">
      <c r="B950" s="171" t="s">
        <v>130</v>
      </c>
      <c r="C950" s="168"/>
      <c r="D950" s="140"/>
      <c r="E950" s="168"/>
      <c r="F950" s="168"/>
      <c r="G950" s="169"/>
      <c r="H950" s="139">
        <v>1.8480000000000001</v>
      </c>
      <c r="I950" s="141">
        <f t="shared" si="31"/>
        <v>1.8480000000000001</v>
      </c>
      <c r="J950" s="142">
        <f t="shared" si="32"/>
        <v>100</v>
      </c>
      <c r="K950" s="167" t="s">
        <v>984</v>
      </c>
    </row>
    <row r="951" spans="1:19">
      <c r="B951" s="171"/>
      <c r="C951" s="168"/>
      <c r="D951" s="140"/>
      <c r="E951" s="168"/>
      <c r="F951" s="168"/>
      <c r="G951" s="169"/>
      <c r="H951" s="139"/>
      <c r="I951" s="141"/>
      <c r="J951" s="142"/>
      <c r="K951" s="167" t="s">
        <v>985</v>
      </c>
      <c r="N951" s="87"/>
    </row>
    <row r="952" spans="1:19">
      <c r="B952" s="171"/>
      <c r="C952" s="168"/>
      <c r="D952" s="140"/>
      <c r="E952" s="168"/>
      <c r="F952" s="168"/>
      <c r="G952" s="169"/>
      <c r="H952" s="139"/>
      <c r="I952" s="141"/>
      <c r="J952" s="142"/>
      <c r="K952" s="167" t="s">
        <v>986</v>
      </c>
      <c r="N952" s="87"/>
    </row>
    <row r="953" spans="1:19">
      <c r="B953" s="171"/>
      <c r="C953" s="168"/>
      <c r="D953" s="140"/>
      <c r="E953" s="168"/>
      <c r="F953" s="168"/>
      <c r="G953" s="169"/>
      <c r="H953" s="139"/>
      <c r="I953" s="141"/>
      <c r="J953" s="142"/>
      <c r="K953" s="167" t="s">
        <v>987</v>
      </c>
      <c r="N953" s="87"/>
    </row>
    <row r="954" spans="1:19">
      <c r="B954" s="171"/>
      <c r="C954" s="168"/>
      <c r="D954" s="140"/>
      <c r="E954" s="168"/>
      <c r="F954" s="168"/>
      <c r="G954" s="169"/>
      <c r="H954" s="139"/>
      <c r="I954" s="141"/>
      <c r="J954" s="142"/>
      <c r="K954" s="167"/>
    </row>
    <row r="955" spans="1:19" s="62" customFormat="1" ht="75">
      <c r="A955" s="1"/>
      <c r="B955" s="171" t="s">
        <v>114</v>
      </c>
      <c r="C955" s="168"/>
      <c r="D955" s="140"/>
      <c r="E955" s="168">
        <v>15.9381</v>
      </c>
      <c r="F955" s="168"/>
      <c r="G955" s="169"/>
      <c r="H955" s="193">
        <f>26.4966</f>
        <v>26.496600000000001</v>
      </c>
      <c r="I955" s="141">
        <f t="shared" si="31"/>
        <v>10.5585</v>
      </c>
      <c r="J955" s="142">
        <f t="shared" si="32"/>
        <v>39.84850886528838</v>
      </c>
      <c r="K955" s="167" t="s">
        <v>931</v>
      </c>
      <c r="N955" s="1"/>
      <c r="O955" s="1"/>
      <c r="P955" s="1"/>
      <c r="Q955" s="1"/>
      <c r="R955" s="1"/>
      <c r="S955" s="1"/>
    </row>
    <row r="956" spans="1:19" s="62" customFormat="1">
      <c r="A956" s="1"/>
      <c r="B956" s="216" t="s">
        <v>43</v>
      </c>
      <c r="C956" s="133"/>
      <c r="D956" s="134"/>
      <c r="E956" s="133">
        <f>SUM(E958:E982)</f>
        <v>62.634200000000007</v>
      </c>
      <c r="F956" s="133"/>
      <c r="G956" s="134"/>
      <c r="H956" s="133">
        <f>SUM(H958:H982)</f>
        <v>180.97020000000001</v>
      </c>
      <c r="I956" s="135">
        <f t="shared" si="31"/>
        <v>118.336</v>
      </c>
      <c r="J956" s="136">
        <f t="shared" si="32"/>
        <v>65.389771354620819</v>
      </c>
      <c r="K956" s="137"/>
      <c r="N956" s="1"/>
      <c r="O956" s="1"/>
      <c r="P956" s="1"/>
      <c r="Q956" s="1"/>
      <c r="R956" s="1"/>
      <c r="S956" s="1"/>
    </row>
    <row r="957" spans="1:19" s="62" customFormat="1">
      <c r="A957" s="1"/>
      <c r="B957" s="167" t="s">
        <v>19</v>
      </c>
      <c r="C957" s="168"/>
      <c r="D957" s="140"/>
      <c r="E957" s="168"/>
      <c r="F957" s="168"/>
      <c r="G957" s="169"/>
      <c r="H957" s="139"/>
      <c r="I957" s="141"/>
      <c r="J957" s="142"/>
      <c r="K957" s="170"/>
      <c r="N957" s="1"/>
      <c r="O957" s="1"/>
      <c r="P957" s="1"/>
      <c r="Q957" s="1"/>
      <c r="R957" s="1"/>
      <c r="S957" s="1"/>
    </row>
    <row r="958" spans="1:19" s="62" customFormat="1" ht="56.25">
      <c r="A958" s="1"/>
      <c r="B958" s="171" t="s">
        <v>85</v>
      </c>
      <c r="C958" s="168"/>
      <c r="D958" s="140"/>
      <c r="E958" s="168">
        <v>6.7</v>
      </c>
      <c r="F958" s="168"/>
      <c r="G958" s="169"/>
      <c r="H958" s="193">
        <v>31.857600000000001</v>
      </c>
      <c r="I958" s="141">
        <f t="shared" si="31"/>
        <v>25.157600000000002</v>
      </c>
      <c r="J958" s="142">
        <f t="shared" si="32"/>
        <v>78.96891165687309</v>
      </c>
      <c r="K958" s="167" t="s">
        <v>997</v>
      </c>
      <c r="L958" s="62">
        <f>SUM(L959:L962)</f>
        <v>31858000</v>
      </c>
      <c r="N958" s="1"/>
      <c r="O958" s="1"/>
      <c r="P958" s="1"/>
      <c r="Q958" s="1"/>
      <c r="R958" s="1"/>
      <c r="S958" s="1"/>
    </row>
    <row r="959" spans="1:19" s="62" customFormat="1" ht="37.5">
      <c r="A959" s="1"/>
      <c r="B959" s="171"/>
      <c r="C959" s="168"/>
      <c r="D959" s="140"/>
      <c r="E959" s="168"/>
      <c r="F959" s="168"/>
      <c r="G959" s="169"/>
      <c r="H959" s="139"/>
      <c r="I959" s="141"/>
      <c r="J959" s="142"/>
      <c r="K959" s="167" t="s">
        <v>998</v>
      </c>
      <c r="L959" s="62">
        <v>24504900</v>
      </c>
      <c r="N959" s="1"/>
      <c r="O959" s="1"/>
      <c r="P959" s="1"/>
      <c r="Q959" s="1"/>
      <c r="R959" s="1"/>
      <c r="S959" s="1"/>
    </row>
    <row r="960" spans="1:19" s="62" customFormat="1">
      <c r="A960" s="1"/>
      <c r="B960" s="171"/>
      <c r="C960" s="168"/>
      <c r="D960" s="140"/>
      <c r="E960" s="168"/>
      <c r="F960" s="168"/>
      <c r="G960" s="169"/>
      <c r="H960" s="139"/>
      <c r="I960" s="141"/>
      <c r="J960" s="142"/>
      <c r="K960" s="167" t="s">
        <v>999</v>
      </c>
      <c r="L960" s="62">
        <v>555800</v>
      </c>
      <c r="N960" s="1"/>
      <c r="O960" s="1"/>
      <c r="P960" s="1"/>
      <c r="Q960" s="1"/>
      <c r="R960" s="1"/>
      <c r="S960" s="1"/>
    </row>
    <row r="961" spans="1:19" s="62" customFormat="1" ht="37.5">
      <c r="A961" s="1"/>
      <c r="B961" s="171"/>
      <c r="C961" s="168"/>
      <c r="D961" s="140"/>
      <c r="E961" s="168"/>
      <c r="F961" s="168"/>
      <c r="G961" s="169"/>
      <c r="H961" s="139"/>
      <c r="I961" s="141"/>
      <c r="J961" s="142"/>
      <c r="K961" s="167" t="s">
        <v>1000</v>
      </c>
      <c r="L961" s="62">
        <v>5654900</v>
      </c>
      <c r="N961" s="1"/>
      <c r="O961" s="1"/>
      <c r="P961" s="1"/>
      <c r="Q961" s="1"/>
      <c r="R961" s="1"/>
      <c r="S961" s="1"/>
    </row>
    <row r="962" spans="1:19" s="62" customFormat="1">
      <c r="A962" s="1"/>
      <c r="B962" s="171"/>
      <c r="C962" s="168"/>
      <c r="D962" s="140"/>
      <c r="E962" s="168"/>
      <c r="F962" s="168"/>
      <c r="G962" s="169"/>
      <c r="H962" s="139"/>
      <c r="I962" s="141"/>
      <c r="J962" s="142"/>
      <c r="K962" s="167" t="s">
        <v>1001</v>
      </c>
      <c r="L962" s="62">
        <v>1142400</v>
      </c>
      <c r="N962" s="1"/>
      <c r="O962" s="1"/>
      <c r="P962" s="1"/>
      <c r="Q962" s="1"/>
      <c r="R962" s="1"/>
      <c r="S962" s="1"/>
    </row>
    <row r="963" spans="1:19" s="62" customFormat="1" ht="56.25">
      <c r="A963" s="1"/>
      <c r="B963" s="171" t="s">
        <v>98</v>
      </c>
      <c r="C963" s="168"/>
      <c r="D963" s="140"/>
      <c r="E963" s="168">
        <v>2.8849999999999998</v>
      </c>
      <c r="F963" s="168"/>
      <c r="G963" s="169"/>
      <c r="H963" s="193">
        <v>4.62</v>
      </c>
      <c r="I963" s="141">
        <f t="shared" si="31"/>
        <v>1.7350000000000003</v>
      </c>
      <c r="J963" s="142">
        <f t="shared" si="32"/>
        <v>37.554112554112557</v>
      </c>
      <c r="K963" s="167" t="s">
        <v>936</v>
      </c>
      <c r="N963" s="1"/>
      <c r="O963" s="1"/>
      <c r="P963" s="1"/>
      <c r="Q963" s="1"/>
      <c r="R963" s="1"/>
      <c r="S963" s="1"/>
    </row>
    <row r="964" spans="1:19" s="62" customFormat="1" ht="56.25">
      <c r="A964" s="1"/>
      <c r="B964" s="171" t="s">
        <v>99</v>
      </c>
      <c r="C964" s="168"/>
      <c r="D964" s="140"/>
      <c r="E964" s="168">
        <v>1.6910000000000001</v>
      </c>
      <c r="F964" s="168"/>
      <c r="G964" s="169"/>
      <c r="H964" s="193">
        <v>3.85</v>
      </c>
      <c r="I964" s="141">
        <f t="shared" si="31"/>
        <v>2.1589999999999998</v>
      </c>
      <c r="J964" s="142">
        <f t="shared" si="32"/>
        <v>56.077922077922068</v>
      </c>
      <c r="K964" s="167" t="s">
        <v>937</v>
      </c>
      <c r="N964" s="1"/>
      <c r="O964" s="1"/>
      <c r="P964" s="1"/>
      <c r="Q964" s="1"/>
      <c r="R964" s="1"/>
      <c r="S964" s="1"/>
    </row>
    <row r="965" spans="1:19" s="62" customFormat="1" ht="56.25">
      <c r="A965" s="1"/>
      <c r="B965" s="171" t="s">
        <v>100</v>
      </c>
      <c r="C965" s="168"/>
      <c r="D965" s="140"/>
      <c r="E965" s="168">
        <v>1.5</v>
      </c>
      <c r="F965" s="168"/>
      <c r="G965" s="169"/>
      <c r="H965" s="193">
        <v>1.925</v>
      </c>
      <c r="I965" s="141">
        <f t="shared" si="31"/>
        <v>0.42500000000000004</v>
      </c>
      <c r="J965" s="142">
        <f t="shared" si="32"/>
        <v>22.077922077922082</v>
      </c>
      <c r="K965" s="167" t="s">
        <v>949</v>
      </c>
      <c r="N965" s="1"/>
      <c r="O965" s="1"/>
      <c r="P965" s="1"/>
      <c r="Q965" s="1"/>
      <c r="R965" s="1"/>
      <c r="S965" s="1"/>
    </row>
    <row r="966" spans="1:19" s="62" customFormat="1" ht="37.5">
      <c r="A966" s="1"/>
      <c r="B966" s="171" t="s">
        <v>131</v>
      </c>
      <c r="C966" s="168"/>
      <c r="D966" s="140"/>
      <c r="E966" s="168">
        <v>6.8832000000000004</v>
      </c>
      <c r="F966" s="168"/>
      <c r="G966" s="169"/>
      <c r="H966" s="139">
        <v>8.2080000000000002</v>
      </c>
      <c r="I966" s="141">
        <f t="shared" si="31"/>
        <v>1.3247999999999998</v>
      </c>
      <c r="J966" s="142">
        <f t="shared" si="32"/>
        <v>16.140350877192976</v>
      </c>
      <c r="K966" s="174" t="s">
        <v>988</v>
      </c>
      <c r="L966" s="95">
        <f>+H967+H982</f>
        <v>66.754999999999995</v>
      </c>
      <c r="N966" s="1"/>
      <c r="O966" s="1"/>
      <c r="P966" s="1"/>
      <c r="Q966" s="1"/>
      <c r="R966" s="1"/>
      <c r="S966" s="1"/>
    </row>
    <row r="967" spans="1:19" s="62" customFormat="1">
      <c r="A967" s="1"/>
      <c r="B967" s="171" t="s">
        <v>102</v>
      </c>
      <c r="C967" s="168"/>
      <c r="D967" s="140"/>
      <c r="E967" s="168">
        <v>20.475000000000001</v>
      </c>
      <c r="F967" s="168"/>
      <c r="G967" s="169"/>
      <c r="H967" s="139">
        <v>36.646999999999998</v>
      </c>
      <c r="I967" s="141">
        <f t="shared" si="31"/>
        <v>16.171999999999997</v>
      </c>
      <c r="J967" s="142">
        <f t="shared" si="32"/>
        <v>44.129123802766934</v>
      </c>
      <c r="K967" s="170" t="s">
        <v>938</v>
      </c>
      <c r="L967" s="62">
        <f>SUM(L968:L974)</f>
        <v>36647000</v>
      </c>
      <c r="N967" s="1"/>
      <c r="O967" s="1"/>
      <c r="P967" s="1"/>
      <c r="Q967" s="1"/>
      <c r="R967" s="1"/>
      <c r="S967" s="1"/>
    </row>
    <row r="968" spans="1:19" s="62" customFormat="1" ht="37.5">
      <c r="A968" s="1"/>
      <c r="B968" s="171"/>
      <c r="C968" s="168"/>
      <c r="D968" s="140"/>
      <c r="E968" s="168"/>
      <c r="F968" s="168"/>
      <c r="G968" s="169"/>
      <c r="H968" s="139"/>
      <c r="I968" s="141"/>
      <c r="J968" s="142"/>
      <c r="K968" s="167" t="s">
        <v>939</v>
      </c>
      <c r="L968" s="62">
        <v>9240000</v>
      </c>
      <c r="N968" s="1"/>
      <c r="O968" s="1"/>
      <c r="P968" s="1"/>
      <c r="Q968" s="1"/>
      <c r="R968" s="1"/>
      <c r="S968" s="1"/>
    </row>
    <row r="969" spans="1:19" s="62" customFormat="1" ht="37.5">
      <c r="A969" s="1"/>
      <c r="B969" s="171"/>
      <c r="C969" s="168"/>
      <c r="D969" s="140"/>
      <c r="E969" s="168"/>
      <c r="F969" s="168"/>
      <c r="G969" s="169"/>
      <c r="H969" s="139"/>
      <c r="I969" s="141"/>
      <c r="J969" s="142"/>
      <c r="K969" s="167" t="s">
        <v>940</v>
      </c>
      <c r="L969" s="62">
        <v>18480000</v>
      </c>
      <c r="N969" s="1"/>
      <c r="O969" s="1"/>
      <c r="P969" s="1"/>
      <c r="Q969" s="1"/>
      <c r="R969" s="1"/>
      <c r="S969" s="1"/>
    </row>
    <row r="970" spans="1:19" s="62" customFormat="1" ht="37.5">
      <c r="A970" s="1"/>
      <c r="B970" s="171"/>
      <c r="C970" s="168"/>
      <c r="D970" s="140"/>
      <c r="E970" s="168"/>
      <c r="F970" s="168"/>
      <c r="G970" s="169"/>
      <c r="H970" s="139"/>
      <c r="I970" s="141"/>
      <c r="J970" s="142"/>
      <c r="K970" s="167" t="s">
        <v>947</v>
      </c>
      <c r="L970" s="62">
        <v>5000000</v>
      </c>
      <c r="N970" s="1"/>
      <c r="O970" s="1"/>
      <c r="P970" s="1"/>
      <c r="Q970" s="1"/>
      <c r="R970" s="1"/>
      <c r="S970" s="1"/>
    </row>
    <row r="971" spans="1:19" s="62" customFormat="1">
      <c r="A971" s="1"/>
      <c r="B971" s="171"/>
      <c r="C971" s="168"/>
      <c r="D971" s="140"/>
      <c r="E971" s="168"/>
      <c r="F971" s="168"/>
      <c r="G971" s="169"/>
      <c r="H971" s="139"/>
      <c r="I971" s="141"/>
      <c r="J971" s="142"/>
      <c r="K971" s="170" t="s">
        <v>950</v>
      </c>
      <c r="L971" s="62">
        <v>462000</v>
      </c>
      <c r="N971" s="1"/>
      <c r="O971" s="1"/>
      <c r="P971" s="1"/>
      <c r="Q971" s="1"/>
      <c r="R971" s="1"/>
      <c r="S971" s="1"/>
    </row>
    <row r="972" spans="1:19" s="62" customFormat="1">
      <c r="A972" s="1"/>
      <c r="B972" s="171"/>
      <c r="C972" s="168"/>
      <c r="D972" s="140"/>
      <c r="E972" s="168"/>
      <c r="F972" s="168"/>
      <c r="G972" s="169"/>
      <c r="H972" s="139"/>
      <c r="I972" s="141"/>
      <c r="J972" s="142"/>
      <c r="K972" s="170" t="s">
        <v>951</v>
      </c>
      <c r="L972" s="62">
        <v>1540000</v>
      </c>
      <c r="N972" s="1"/>
      <c r="O972" s="1"/>
      <c r="P972" s="1"/>
      <c r="Q972" s="1"/>
      <c r="R972" s="1"/>
      <c r="S972" s="1"/>
    </row>
    <row r="973" spans="1:19" s="62" customFormat="1">
      <c r="A973" s="1"/>
      <c r="B973" s="171"/>
      <c r="C973" s="168"/>
      <c r="D973" s="140"/>
      <c r="E973" s="168"/>
      <c r="F973" s="168"/>
      <c r="G973" s="169"/>
      <c r="H973" s="139"/>
      <c r="I973" s="141"/>
      <c r="J973" s="142"/>
      <c r="K973" s="170" t="s">
        <v>952</v>
      </c>
      <c r="L973" s="62">
        <v>1540000</v>
      </c>
      <c r="N973" s="1"/>
      <c r="O973" s="1"/>
      <c r="P973" s="1"/>
      <c r="Q973" s="1"/>
      <c r="R973" s="1"/>
      <c r="S973" s="1"/>
    </row>
    <row r="974" spans="1:19" s="62" customFormat="1" ht="56.25">
      <c r="A974" s="1"/>
      <c r="B974" s="171"/>
      <c r="C974" s="168"/>
      <c r="D974" s="140"/>
      <c r="E974" s="168"/>
      <c r="F974" s="168"/>
      <c r="G974" s="169"/>
      <c r="H974" s="139"/>
      <c r="I974" s="141"/>
      <c r="J974" s="142"/>
      <c r="K974" s="167" t="s">
        <v>957</v>
      </c>
      <c r="L974" s="62">
        <v>385000</v>
      </c>
      <c r="N974" s="1"/>
      <c r="O974" s="1"/>
      <c r="P974" s="1"/>
      <c r="Q974" s="1"/>
      <c r="R974" s="1"/>
      <c r="S974" s="1"/>
    </row>
    <row r="975" spans="1:19" s="62" customFormat="1">
      <c r="A975" s="1"/>
      <c r="B975" s="171"/>
      <c r="C975" s="168"/>
      <c r="D975" s="140"/>
      <c r="E975" s="168"/>
      <c r="F975" s="168"/>
      <c r="G975" s="169"/>
      <c r="H975" s="139"/>
      <c r="I975" s="141"/>
      <c r="J975" s="142"/>
      <c r="K975" s="170"/>
      <c r="N975" s="1"/>
      <c r="O975" s="1"/>
      <c r="P975" s="1"/>
      <c r="Q975" s="1"/>
      <c r="R975" s="1"/>
      <c r="S975" s="1"/>
    </row>
    <row r="976" spans="1:19" s="62" customFormat="1" ht="56.25">
      <c r="A976" s="1"/>
      <c r="B976" s="171" t="s">
        <v>103</v>
      </c>
      <c r="C976" s="168"/>
      <c r="D976" s="140"/>
      <c r="E976" s="168">
        <v>20</v>
      </c>
      <c r="F976" s="168"/>
      <c r="G976" s="169"/>
      <c r="H976" s="193">
        <v>13.4511</v>
      </c>
      <c r="I976" s="141">
        <f t="shared" si="31"/>
        <v>-6.5488999999999997</v>
      </c>
      <c r="J976" s="142">
        <f t="shared" si="32"/>
        <v>-48.686724505802495</v>
      </c>
      <c r="K976" s="167" t="s">
        <v>932</v>
      </c>
      <c r="N976" s="1"/>
      <c r="O976" s="1"/>
      <c r="P976" s="1"/>
      <c r="Q976" s="1"/>
      <c r="R976" s="1"/>
      <c r="S976" s="1"/>
    </row>
    <row r="977" spans="1:19" s="62" customFormat="1" ht="56.25">
      <c r="A977" s="1"/>
      <c r="B977" s="171" t="s">
        <v>933</v>
      </c>
      <c r="C977" s="168"/>
      <c r="D977" s="140"/>
      <c r="E977" s="168"/>
      <c r="F977" s="168"/>
      <c r="G977" s="169"/>
      <c r="H977" s="139">
        <v>0.94650000000000001</v>
      </c>
      <c r="I977" s="141">
        <f t="shared" si="31"/>
        <v>0.94650000000000001</v>
      </c>
      <c r="J977" s="142">
        <f t="shared" si="32"/>
        <v>100</v>
      </c>
      <c r="K977" s="167" t="s">
        <v>934</v>
      </c>
      <c r="N977" s="1"/>
      <c r="O977" s="1"/>
      <c r="P977" s="1"/>
      <c r="Q977" s="1"/>
      <c r="R977" s="1"/>
      <c r="S977" s="1"/>
    </row>
    <row r="978" spans="1:19" s="62" customFormat="1" ht="93.75">
      <c r="A978" s="1"/>
      <c r="B978" s="171" t="s">
        <v>935</v>
      </c>
      <c r="C978" s="168"/>
      <c r="D978" s="140"/>
      <c r="E978" s="168">
        <v>2.5</v>
      </c>
      <c r="F978" s="168"/>
      <c r="G978" s="169"/>
      <c r="H978" s="193">
        <v>45.969000000000001</v>
      </c>
      <c r="I978" s="141">
        <f t="shared" si="31"/>
        <v>43.469000000000001</v>
      </c>
      <c r="J978" s="142">
        <f t="shared" si="32"/>
        <v>94.561552350497081</v>
      </c>
      <c r="K978" s="167" t="s">
        <v>948</v>
      </c>
      <c r="N978" s="1"/>
      <c r="O978" s="1"/>
      <c r="P978" s="1"/>
      <c r="Q978" s="1"/>
      <c r="R978" s="1"/>
      <c r="S978" s="1"/>
    </row>
    <row r="979" spans="1:19" s="62" customFormat="1" ht="37.5">
      <c r="A979" s="1"/>
      <c r="B979" s="171" t="s">
        <v>953</v>
      </c>
      <c r="C979" s="168"/>
      <c r="D979" s="140"/>
      <c r="E979" s="168"/>
      <c r="F979" s="168"/>
      <c r="G979" s="169"/>
      <c r="H979" s="193">
        <v>1.8480000000000001</v>
      </c>
      <c r="I979" s="141">
        <f t="shared" si="31"/>
        <v>1.8480000000000001</v>
      </c>
      <c r="J979" s="142">
        <f t="shared" si="32"/>
        <v>100</v>
      </c>
      <c r="K979" s="167" t="s">
        <v>956</v>
      </c>
      <c r="N979" s="1"/>
      <c r="O979" s="1"/>
      <c r="P979" s="1"/>
      <c r="Q979" s="1"/>
      <c r="R979" s="1"/>
      <c r="S979" s="1"/>
    </row>
    <row r="980" spans="1:19" s="62" customFormat="1">
      <c r="A980" s="1"/>
      <c r="B980" s="171" t="s">
        <v>954</v>
      </c>
      <c r="C980" s="168"/>
      <c r="D980" s="140"/>
      <c r="E980" s="168"/>
      <c r="F980" s="168"/>
      <c r="G980" s="169"/>
      <c r="H980" s="139">
        <v>1.54</v>
      </c>
      <c r="I980" s="141">
        <f t="shared" si="31"/>
        <v>1.54</v>
      </c>
      <c r="J980" s="142">
        <f t="shared" si="32"/>
        <v>100</v>
      </c>
      <c r="K980" s="167" t="s">
        <v>955</v>
      </c>
      <c r="N980" s="1"/>
      <c r="O980" s="1"/>
      <c r="P980" s="1"/>
      <c r="Q980" s="1"/>
      <c r="R980" s="1"/>
      <c r="S980" s="1"/>
    </row>
    <row r="981" spans="1:19" s="62" customFormat="1">
      <c r="A981" s="1"/>
      <c r="B981" s="171"/>
      <c r="C981" s="168"/>
      <c r="D981" s="140"/>
      <c r="E981" s="168"/>
      <c r="F981" s="168"/>
      <c r="G981" s="169"/>
      <c r="H981" s="139"/>
      <c r="I981" s="141"/>
      <c r="J981" s="142"/>
      <c r="K981" s="167"/>
      <c r="N981" s="1"/>
      <c r="O981" s="1"/>
      <c r="P981" s="1"/>
      <c r="Q981" s="1"/>
      <c r="R981" s="1"/>
      <c r="S981" s="1"/>
    </row>
    <row r="982" spans="1:19" s="62" customFormat="1" ht="40.5">
      <c r="A982" s="1"/>
      <c r="B982" s="167" t="s">
        <v>69</v>
      </c>
      <c r="C982" s="168"/>
      <c r="D982" s="140"/>
      <c r="E982" s="168"/>
      <c r="F982" s="168"/>
      <c r="G982" s="169"/>
      <c r="H982" s="139">
        <v>30.108000000000001</v>
      </c>
      <c r="I982" s="141">
        <f t="shared" si="31"/>
        <v>30.108000000000001</v>
      </c>
      <c r="J982" s="142">
        <f t="shared" si="32"/>
        <v>100</v>
      </c>
      <c r="K982" s="170"/>
      <c r="N982" s="1"/>
      <c r="O982" s="1"/>
      <c r="P982" s="1"/>
      <c r="Q982" s="1"/>
      <c r="R982" s="1"/>
      <c r="S982" s="1"/>
    </row>
    <row r="983" spans="1:19" s="62" customFormat="1">
      <c r="A983" s="1"/>
      <c r="B983" s="171" t="s">
        <v>2</v>
      </c>
      <c r="C983" s="172"/>
      <c r="D983" s="173"/>
      <c r="E983" s="172"/>
      <c r="F983" s="168"/>
      <c r="G983" s="169"/>
      <c r="H983" s="172"/>
      <c r="I983" s="141"/>
      <c r="J983" s="142"/>
      <c r="K983" s="170"/>
      <c r="N983" s="1"/>
      <c r="O983" s="1"/>
      <c r="P983" s="1"/>
      <c r="Q983" s="1"/>
      <c r="R983" s="1"/>
      <c r="S983" s="1"/>
    </row>
    <row r="984" spans="1:19" s="62" customFormat="1">
      <c r="A984" s="1"/>
      <c r="B984" s="171" t="s">
        <v>3</v>
      </c>
      <c r="C984" s="172"/>
      <c r="D984" s="173"/>
      <c r="E984" s="172"/>
      <c r="F984" s="168"/>
      <c r="G984" s="169"/>
      <c r="H984" s="172"/>
      <c r="I984" s="141"/>
      <c r="J984" s="142"/>
      <c r="K984" s="170"/>
      <c r="L984" s="62">
        <f>SUM(L985:L987)</f>
        <v>30108000</v>
      </c>
      <c r="N984" s="1"/>
      <c r="O984" s="1"/>
      <c r="P984" s="1"/>
      <c r="Q984" s="1"/>
      <c r="R984" s="1"/>
      <c r="S984" s="1"/>
    </row>
    <row r="985" spans="1:19" s="62" customFormat="1" ht="75">
      <c r="A985" s="1"/>
      <c r="B985" s="171" t="s">
        <v>944</v>
      </c>
      <c r="C985" s="172"/>
      <c r="D985" s="173"/>
      <c r="E985" s="172"/>
      <c r="F985" s="168"/>
      <c r="G985" s="169"/>
      <c r="H985" s="172"/>
      <c r="I985" s="141"/>
      <c r="J985" s="142"/>
      <c r="K985" s="167" t="s">
        <v>941</v>
      </c>
      <c r="L985" s="62">
        <v>18480000</v>
      </c>
      <c r="N985" s="1"/>
      <c r="O985" s="1"/>
      <c r="P985" s="1"/>
      <c r="Q985" s="1"/>
      <c r="R985" s="1"/>
      <c r="S985" s="1"/>
    </row>
    <row r="986" spans="1:19" s="62" customFormat="1" ht="75">
      <c r="A986" s="1"/>
      <c r="B986" s="171" t="s">
        <v>943</v>
      </c>
      <c r="C986" s="172"/>
      <c r="D986" s="173"/>
      <c r="E986" s="172"/>
      <c r="F986" s="168"/>
      <c r="G986" s="169"/>
      <c r="H986" s="172"/>
      <c r="I986" s="141"/>
      <c r="J986" s="142"/>
      <c r="K986" s="167" t="s">
        <v>946</v>
      </c>
      <c r="L986" s="62">
        <v>11088000</v>
      </c>
      <c r="N986" s="1"/>
      <c r="O986" s="1"/>
      <c r="P986" s="1"/>
      <c r="Q986" s="1"/>
      <c r="R986" s="1"/>
      <c r="S986" s="1"/>
    </row>
    <row r="987" spans="1:19" s="62" customFormat="1" ht="93.75">
      <c r="A987" s="1"/>
      <c r="B987" s="171" t="s">
        <v>942</v>
      </c>
      <c r="C987" s="172"/>
      <c r="D987" s="173"/>
      <c r="E987" s="172"/>
      <c r="F987" s="168"/>
      <c r="G987" s="169"/>
      <c r="H987" s="172"/>
      <c r="I987" s="141"/>
      <c r="J987" s="142"/>
      <c r="K987" s="167" t="s">
        <v>945</v>
      </c>
      <c r="L987" s="62">
        <v>540000</v>
      </c>
      <c r="N987" s="1"/>
      <c r="O987" s="1"/>
      <c r="P987" s="1"/>
      <c r="Q987" s="1"/>
      <c r="R987" s="1"/>
      <c r="S987" s="1"/>
    </row>
    <row r="988" spans="1:19" s="62" customFormat="1">
      <c r="A988" s="1"/>
      <c r="B988" s="171"/>
      <c r="C988" s="172"/>
      <c r="D988" s="173"/>
      <c r="E988" s="172"/>
      <c r="F988" s="168"/>
      <c r="G988" s="169"/>
      <c r="H988" s="172"/>
      <c r="I988" s="141"/>
      <c r="J988" s="142"/>
      <c r="K988" s="170"/>
      <c r="N988" s="1"/>
      <c r="O988" s="1"/>
      <c r="P988" s="1"/>
      <c r="Q988" s="1"/>
      <c r="R988" s="1"/>
      <c r="S988" s="1"/>
    </row>
    <row r="989" spans="1:19" s="62" customFormat="1">
      <c r="A989" s="1"/>
      <c r="B989" s="167" t="s">
        <v>22</v>
      </c>
      <c r="C989" s="168"/>
      <c r="D989" s="140"/>
      <c r="E989" s="168"/>
      <c r="F989" s="168"/>
      <c r="G989" s="169"/>
      <c r="H989" s="168"/>
      <c r="I989" s="141"/>
      <c r="J989" s="142"/>
      <c r="K989" s="170"/>
      <c r="N989" s="1"/>
      <c r="O989" s="1"/>
      <c r="P989" s="1"/>
      <c r="Q989" s="1"/>
      <c r="R989" s="1"/>
      <c r="S989" s="1"/>
    </row>
    <row r="990" spans="1:19" s="62" customFormat="1">
      <c r="A990" s="1"/>
      <c r="B990" s="171" t="s">
        <v>21</v>
      </c>
      <c r="C990" s="168"/>
      <c r="D990" s="140"/>
      <c r="E990" s="168"/>
      <c r="F990" s="168"/>
      <c r="G990" s="169"/>
      <c r="H990" s="168"/>
      <c r="I990" s="141"/>
      <c r="J990" s="142"/>
      <c r="K990" s="170"/>
      <c r="N990" s="1"/>
      <c r="O990" s="1"/>
      <c r="P990" s="1"/>
      <c r="Q990" s="1"/>
      <c r="R990" s="1"/>
      <c r="S990" s="1"/>
    </row>
    <row r="991" spans="1:19" s="62" customFormat="1">
      <c r="A991" s="1"/>
      <c r="B991" s="167" t="s">
        <v>20</v>
      </c>
      <c r="C991" s="168"/>
      <c r="D991" s="140"/>
      <c r="E991" s="168"/>
      <c r="F991" s="168"/>
      <c r="G991" s="169"/>
      <c r="H991" s="168"/>
      <c r="I991" s="141"/>
      <c r="J991" s="142"/>
      <c r="K991" s="170"/>
      <c r="N991" s="1"/>
      <c r="O991" s="1"/>
      <c r="P991" s="1"/>
      <c r="Q991" s="1"/>
      <c r="R991" s="1"/>
      <c r="S991" s="1"/>
    </row>
    <row r="992" spans="1:19" s="62" customFormat="1">
      <c r="A992" s="1"/>
      <c r="B992" s="171" t="s">
        <v>17</v>
      </c>
      <c r="C992" s="168"/>
      <c r="D992" s="140"/>
      <c r="E992" s="168"/>
      <c r="F992" s="168"/>
      <c r="G992" s="169"/>
      <c r="H992" s="168"/>
      <c r="I992" s="141"/>
      <c r="J992" s="142"/>
      <c r="K992" s="170"/>
      <c r="N992" s="1"/>
      <c r="O992" s="1"/>
      <c r="P992" s="1"/>
      <c r="Q992" s="1"/>
      <c r="R992" s="1"/>
      <c r="S992" s="1"/>
    </row>
    <row r="993" spans="1:19" s="62" customFormat="1">
      <c r="A993" s="1"/>
      <c r="B993" s="216" t="s">
        <v>44</v>
      </c>
      <c r="C993" s="133"/>
      <c r="D993" s="134"/>
      <c r="E993" s="133">
        <f>SUM(E994:E1008)</f>
        <v>71.994399999999999</v>
      </c>
      <c r="F993" s="133"/>
      <c r="G993" s="134"/>
      <c r="H993" s="133">
        <f>SUM(H994:H1008)</f>
        <v>87.751000000000005</v>
      </c>
      <c r="I993" s="135">
        <f t="shared" si="31"/>
        <v>15.756600000000006</v>
      </c>
      <c r="J993" s="136">
        <f t="shared" si="32"/>
        <v>17.956034689063376</v>
      </c>
      <c r="K993" s="137"/>
      <c r="N993" s="1"/>
      <c r="O993" s="1"/>
      <c r="P993" s="1"/>
      <c r="Q993" s="1"/>
      <c r="R993" s="1"/>
      <c r="S993" s="1"/>
    </row>
    <row r="994" spans="1:19" s="62" customFormat="1">
      <c r="A994" s="1"/>
      <c r="B994" s="171" t="s">
        <v>90</v>
      </c>
      <c r="C994" s="168"/>
      <c r="D994" s="140"/>
      <c r="E994" s="168">
        <v>3</v>
      </c>
      <c r="F994" s="168"/>
      <c r="G994" s="169"/>
      <c r="H994" s="168">
        <f>4.05+0.777</f>
        <v>4.827</v>
      </c>
      <c r="I994" s="141">
        <f t="shared" si="31"/>
        <v>1.827</v>
      </c>
      <c r="J994" s="142">
        <f t="shared" si="32"/>
        <v>37.849596022374143</v>
      </c>
      <c r="K994" s="170" t="s">
        <v>958</v>
      </c>
      <c r="N994" s="1"/>
      <c r="O994" s="1"/>
      <c r="P994" s="1"/>
      <c r="Q994" s="1"/>
      <c r="R994" s="1"/>
      <c r="S994" s="1"/>
    </row>
    <row r="995" spans="1:19" s="62" customFormat="1" ht="56.25">
      <c r="A995" s="1"/>
      <c r="B995" s="171" t="s">
        <v>91</v>
      </c>
      <c r="C995" s="168"/>
      <c r="D995" s="140"/>
      <c r="E995" s="168">
        <v>15</v>
      </c>
      <c r="F995" s="168"/>
      <c r="G995" s="169"/>
      <c r="H995" s="168">
        <v>11.087999999999999</v>
      </c>
      <c r="I995" s="141">
        <f t="shared" si="31"/>
        <v>-3.9120000000000008</v>
      </c>
      <c r="J995" s="142">
        <f t="shared" si="32"/>
        <v>-35.28138528138529</v>
      </c>
      <c r="K995" s="167" t="s">
        <v>971</v>
      </c>
      <c r="N995" s="1"/>
      <c r="O995" s="1"/>
      <c r="P995" s="1"/>
      <c r="Q995" s="1"/>
      <c r="R995" s="1"/>
      <c r="S995" s="1"/>
    </row>
    <row r="996" spans="1:19" s="62" customFormat="1" ht="37.5">
      <c r="A996" s="1"/>
      <c r="B996" s="171" t="s">
        <v>134</v>
      </c>
      <c r="C996" s="168"/>
      <c r="D996" s="140"/>
      <c r="E996" s="168">
        <v>1</v>
      </c>
      <c r="F996" s="168"/>
      <c r="G996" s="169"/>
      <c r="H996" s="168">
        <v>1.1499999999999999</v>
      </c>
      <c r="I996" s="141">
        <f t="shared" si="31"/>
        <v>0.14999999999999991</v>
      </c>
      <c r="J996" s="142">
        <f t="shared" si="32"/>
        <v>13.043478260869559</v>
      </c>
      <c r="K996" s="167" t="s">
        <v>968</v>
      </c>
      <c r="N996" s="1"/>
      <c r="O996" s="1"/>
      <c r="P996" s="1"/>
      <c r="Q996" s="1"/>
      <c r="R996" s="1"/>
      <c r="S996" s="1"/>
    </row>
    <row r="997" spans="1:19" s="62" customFormat="1" ht="37.5">
      <c r="A997" s="1"/>
      <c r="B997" s="171" t="s">
        <v>135</v>
      </c>
      <c r="C997" s="168"/>
      <c r="D997" s="140"/>
      <c r="E997" s="168">
        <v>1.6180000000000001</v>
      </c>
      <c r="F997" s="168"/>
      <c r="G997" s="169"/>
      <c r="H997" s="168">
        <v>5.8520000000000003</v>
      </c>
      <c r="I997" s="141">
        <f t="shared" si="31"/>
        <v>4.234</v>
      </c>
      <c r="J997" s="142">
        <f t="shared" si="32"/>
        <v>72.351332877648659</v>
      </c>
      <c r="K997" s="167" t="s">
        <v>959</v>
      </c>
      <c r="N997" s="1"/>
      <c r="O997" s="1"/>
      <c r="P997" s="1"/>
      <c r="Q997" s="1"/>
      <c r="R997" s="1"/>
      <c r="S997" s="1"/>
    </row>
    <row r="998" spans="1:19" s="62" customFormat="1">
      <c r="A998" s="1"/>
      <c r="B998" s="171" t="s">
        <v>136</v>
      </c>
      <c r="C998" s="168"/>
      <c r="D998" s="140"/>
      <c r="E998" s="168">
        <v>0.48499999999999999</v>
      </c>
      <c r="F998" s="168"/>
      <c r="G998" s="169"/>
      <c r="H998" s="168">
        <v>0.77</v>
      </c>
      <c r="I998" s="141">
        <f t="shared" si="31"/>
        <v>0.28500000000000003</v>
      </c>
      <c r="J998" s="142">
        <f t="shared" si="32"/>
        <v>37.012987012987018</v>
      </c>
      <c r="K998" s="170" t="s">
        <v>970</v>
      </c>
      <c r="N998" s="1"/>
      <c r="O998" s="1"/>
      <c r="P998" s="1"/>
      <c r="Q998" s="1"/>
      <c r="R998" s="1"/>
      <c r="S998" s="1"/>
    </row>
    <row r="999" spans="1:19" s="62" customFormat="1" ht="75">
      <c r="A999" s="1"/>
      <c r="B999" s="171" t="s">
        <v>188</v>
      </c>
      <c r="C999" s="168"/>
      <c r="D999" s="140"/>
      <c r="E999" s="168">
        <v>1.5</v>
      </c>
      <c r="F999" s="168"/>
      <c r="G999" s="169"/>
      <c r="H999" s="168">
        <v>2.31</v>
      </c>
      <c r="I999" s="141">
        <f t="shared" si="31"/>
        <v>0.81</v>
      </c>
      <c r="J999" s="142">
        <f t="shared" si="32"/>
        <v>35.064935064935064</v>
      </c>
      <c r="K999" s="167" t="s">
        <v>969</v>
      </c>
      <c r="N999" s="1"/>
      <c r="O999" s="1"/>
      <c r="P999" s="1"/>
      <c r="Q999" s="1"/>
      <c r="R999" s="1"/>
      <c r="S999" s="1"/>
    </row>
    <row r="1000" spans="1:19" s="62" customFormat="1" ht="37.5">
      <c r="A1000" s="1"/>
      <c r="B1000" s="171" t="s">
        <v>139</v>
      </c>
      <c r="C1000" s="168"/>
      <c r="D1000" s="140"/>
      <c r="E1000" s="168">
        <v>44.820399999999999</v>
      </c>
      <c r="F1000" s="168"/>
      <c r="G1000" s="169"/>
      <c r="H1000" s="168">
        <v>50.588999999999999</v>
      </c>
      <c r="I1000" s="141">
        <f t="shared" si="31"/>
        <v>5.7685999999999993</v>
      </c>
      <c r="J1000" s="142">
        <f t="shared" si="32"/>
        <v>11.402874142600169</v>
      </c>
      <c r="K1000" s="167" t="s">
        <v>961</v>
      </c>
      <c r="N1000" s="1"/>
      <c r="O1000" s="1"/>
      <c r="P1000" s="1"/>
      <c r="Q1000" s="1"/>
      <c r="R1000" s="1"/>
      <c r="S1000" s="1"/>
    </row>
    <row r="1001" spans="1:19" s="62" customFormat="1" ht="37.5">
      <c r="A1001" s="1"/>
      <c r="B1001" s="171" t="s">
        <v>189</v>
      </c>
      <c r="C1001" s="168"/>
      <c r="D1001" s="140"/>
      <c r="E1001" s="168">
        <v>4.5709999999999997</v>
      </c>
      <c r="F1001" s="168"/>
      <c r="G1001" s="169"/>
      <c r="H1001" s="168">
        <v>2.31</v>
      </c>
      <c r="I1001" s="141">
        <f t="shared" si="31"/>
        <v>-2.2609999999999997</v>
      </c>
      <c r="J1001" s="142">
        <f t="shared" si="32"/>
        <v>-97.878787878787861</v>
      </c>
      <c r="K1001" s="167" t="s">
        <v>960</v>
      </c>
      <c r="N1001" s="1"/>
      <c r="O1001" s="1"/>
      <c r="P1001" s="1"/>
      <c r="Q1001" s="1"/>
      <c r="R1001" s="1"/>
      <c r="S1001" s="1"/>
    </row>
    <row r="1002" spans="1:19" s="62" customFormat="1" ht="37.5">
      <c r="A1002" s="1"/>
      <c r="B1002" s="171" t="s">
        <v>963</v>
      </c>
      <c r="C1002" s="168"/>
      <c r="D1002" s="140"/>
      <c r="E1002" s="168"/>
      <c r="F1002" s="168"/>
      <c r="G1002" s="169"/>
      <c r="H1002" s="168">
        <v>0.77</v>
      </c>
      <c r="I1002" s="141">
        <f t="shared" si="31"/>
        <v>0.77</v>
      </c>
      <c r="J1002" s="142">
        <f t="shared" si="32"/>
        <v>100</v>
      </c>
      <c r="K1002" s="167" t="s">
        <v>962</v>
      </c>
      <c r="N1002" s="1"/>
      <c r="O1002" s="1"/>
      <c r="P1002" s="1"/>
      <c r="Q1002" s="1"/>
      <c r="R1002" s="1"/>
      <c r="S1002" s="1"/>
    </row>
    <row r="1003" spans="1:19" s="62" customFormat="1" ht="37.5">
      <c r="A1003" s="1"/>
      <c r="B1003" s="171" t="s">
        <v>964</v>
      </c>
      <c r="C1003" s="168"/>
      <c r="D1003" s="140"/>
      <c r="E1003" s="168"/>
      <c r="F1003" s="168"/>
      <c r="G1003" s="169"/>
      <c r="H1003" s="168">
        <v>0.77</v>
      </c>
      <c r="I1003" s="141">
        <f t="shared" si="31"/>
        <v>0.77</v>
      </c>
      <c r="J1003" s="142">
        <f t="shared" si="32"/>
        <v>100</v>
      </c>
      <c r="K1003" s="167" t="s">
        <v>965</v>
      </c>
      <c r="N1003" s="1"/>
      <c r="O1003" s="1"/>
      <c r="P1003" s="1"/>
      <c r="Q1003" s="1"/>
      <c r="R1003" s="1"/>
      <c r="S1003" s="1"/>
    </row>
    <row r="1004" spans="1:19" s="62" customFormat="1" ht="37.5">
      <c r="A1004" s="1"/>
      <c r="B1004" s="171" t="s">
        <v>966</v>
      </c>
      <c r="C1004" s="168"/>
      <c r="D1004" s="140"/>
      <c r="E1004" s="168"/>
      <c r="F1004" s="168"/>
      <c r="G1004" s="169"/>
      <c r="H1004" s="168">
        <v>1.155</v>
      </c>
      <c r="I1004" s="141">
        <f t="shared" si="31"/>
        <v>1.155</v>
      </c>
      <c r="J1004" s="142">
        <f t="shared" si="32"/>
        <v>100</v>
      </c>
      <c r="K1004" s="167" t="s">
        <v>967</v>
      </c>
      <c r="N1004" s="1"/>
      <c r="O1004" s="1"/>
      <c r="P1004" s="1"/>
      <c r="Q1004" s="1"/>
      <c r="R1004" s="1"/>
      <c r="S1004" s="1"/>
    </row>
    <row r="1005" spans="1:19" s="62" customFormat="1" ht="37.5">
      <c r="A1005" s="1"/>
      <c r="B1005" s="171" t="s">
        <v>972</v>
      </c>
      <c r="C1005" s="168"/>
      <c r="D1005" s="140"/>
      <c r="E1005" s="168"/>
      <c r="F1005" s="168"/>
      <c r="G1005" s="169"/>
      <c r="H1005" s="168">
        <v>4.62</v>
      </c>
      <c r="I1005" s="141">
        <f t="shared" si="31"/>
        <v>4.62</v>
      </c>
      <c r="J1005" s="142">
        <f t="shared" si="32"/>
        <v>100</v>
      </c>
      <c r="K1005" s="167" t="s">
        <v>973</v>
      </c>
      <c r="N1005" s="1"/>
      <c r="O1005" s="1"/>
      <c r="P1005" s="1"/>
      <c r="Q1005" s="1"/>
      <c r="R1005" s="1"/>
      <c r="S1005" s="1"/>
    </row>
    <row r="1006" spans="1:19" s="62" customFormat="1" ht="37.5">
      <c r="A1006" s="1"/>
      <c r="B1006" s="171" t="s">
        <v>974</v>
      </c>
      <c r="C1006" s="168"/>
      <c r="D1006" s="140"/>
      <c r="E1006" s="168"/>
      <c r="F1006" s="168"/>
      <c r="G1006" s="169"/>
      <c r="H1006" s="168">
        <v>0.38500000000000001</v>
      </c>
      <c r="I1006" s="141">
        <f t="shared" si="31"/>
        <v>0.38500000000000001</v>
      </c>
      <c r="J1006" s="142">
        <f t="shared" si="32"/>
        <v>100</v>
      </c>
      <c r="K1006" s="167" t="s">
        <v>975</v>
      </c>
      <c r="N1006" s="1"/>
      <c r="O1006" s="1"/>
      <c r="P1006" s="1"/>
      <c r="Q1006" s="1"/>
      <c r="R1006" s="1"/>
      <c r="S1006" s="1"/>
    </row>
    <row r="1007" spans="1:19" s="62" customFormat="1" ht="37.5">
      <c r="A1007" s="1"/>
      <c r="B1007" s="171" t="s">
        <v>976</v>
      </c>
      <c r="C1007" s="168"/>
      <c r="D1007" s="140"/>
      <c r="E1007" s="168"/>
      <c r="F1007" s="168"/>
      <c r="G1007" s="169"/>
      <c r="H1007" s="168">
        <v>0.38500000000000001</v>
      </c>
      <c r="I1007" s="141">
        <f t="shared" si="31"/>
        <v>0.38500000000000001</v>
      </c>
      <c r="J1007" s="142">
        <f t="shared" si="32"/>
        <v>100</v>
      </c>
      <c r="K1007" s="167" t="s">
        <v>977</v>
      </c>
      <c r="N1007" s="1"/>
      <c r="O1007" s="1"/>
      <c r="P1007" s="1"/>
      <c r="Q1007" s="1"/>
      <c r="R1007" s="1"/>
      <c r="S1007" s="1"/>
    </row>
    <row r="1008" spans="1:19" s="62" customFormat="1" ht="37.5">
      <c r="A1008" s="1"/>
      <c r="B1008" s="171" t="s">
        <v>978</v>
      </c>
      <c r="C1008" s="168"/>
      <c r="D1008" s="140"/>
      <c r="E1008" s="168"/>
      <c r="F1008" s="168"/>
      <c r="G1008" s="169"/>
      <c r="H1008" s="168">
        <v>0.77</v>
      </c>
      <c r="I1008" s="141">
        <f t="shared" ref="I1008:I1032" si="33">+H1008-E1008</f>
        <v>0.77</v>
      </c>
      <c r="J1008" s="142">
        <f t="shared" ref="J1008:J1030" si="34">+I1008*100/H1008</f>
        <v>100</v>
      </c>
      <c r="K1008" s="167" t="s">
        <v>979</v>
      </c>
      <c r="N1008" s="1"/>
      <c r="O1008" s="1"/>
      <c r="P1008" s="1"/>
      <c r="Q1008" s="1"/>
      <c r="R1008" s="1"/>
      <c r="S1008" s="1"/>
    </row>
    <row r="1009" spans="1:19" s="62" customFormat="1">
      <c r="A1009" s="1"/>
      <c r="B1009" s="179" t="s">
        <v>45</v>
      </c>
      <c r="C1009" s="180"/>
      <c r="D1009" s="181"/>
      <c r="E1009" s="180">
        <f>SUM(E1010:E1014)</f>
        <v>20.476599999999998</v>
      </c>
      <c r="F1009" s="180"/>
      <c r="G1009" s="181"/>
      <c r="H1009" s="180">
        <f>SUM(H1010:H1014)</f>
        <v>19.404</v>
      </c>
      <c r="I1009" s="182">
        <f t="shared" si="33"/>
        <v>-1.0725999999999978</v>
      </c>
      <c r="J1009" s="183">
        <f t="shared" si="34"/>
        <v>-5.5277262420119451</v>
      </c>
      <c r="K1009" s="184"/>
      <c r="N1009" s="1"/>
      <c r="O1009" s="1"/>
      <c r="P1009" s="1"/>
      <c r="Q1009" s="1"/>
      <c r="R1009" s="1"/>
      <c r="S1009" s="1"/>
    </row>
    <row r="1010" spans="1:19" s="62" customFormat="1" ht="37.5">
      <c r="A1010" s="1"/>
      <c r="B1010" s="171" t="s">
        <v>106</v>
      </c>
      <c r="C1010" s="168"/>
      <c r="D1010" s="140"/>
      <c r="E1010" s="168">
        <v>3.6225999999999998</v>
      </c>
      <c r="F1010" s="168"/>
      <c r="G1010" s="169"/>
      <c r="H1010" s="139">
        <v>2.7719999999999998</v>
      </c>
      <c r="I1010" s="141">
        <f t="shared" si="33"/>
        <v>-0.85060000000000002</v>
      </c>
      <c r="J1010" s="142">
        <f t="shared" si="34"/>
        <v>-30.685425685425688</v>
      </c>
      <c r="K1010" s="167" t="s">
        <v>980</v>
      </c>
      <c r="N1010" s="1"/>
      <c r="O1010" s="1"/>
      <c r="P1010" s="1"/>
      <c r="Q1010" s="1"/>
      <c r="R1010" s="1"/>
      <c r="S1010" s="1"/>
    </row>
    <row r="1011" spans="1:19" s="62" customFormat="1" ht="37.5">
      <c r="A1011" s="1"/>
      <c r="B1011" s="171" t="s">
        <v>107</v>
      </c>
      <c r="C1011" s="168"/>
      <c r="D1011" s="140"/>
      <c r="E1011" s="168">
        <v>4.3280000000000003</v>
      </c>
      <c r="F1011" s="168"/>
      <c r="G1011" s="169"/>
      <c r="H1011" s="139">
        <v>3.6960000000000002</v>
      </c>
      <c r="I1011" s="141">
        <f t="shared" si="33"/>
        <v>-0.63200000000000012</v>
      </c>
      <c r="J1011" s="142">
        <f t="shared" si="34"/>
        <v>-17.0995670995671</v>
      </c>
      <c r="K1011" s="167" t="s">
        <v>981</v>
      </c>
      <c r="N1011" s="1"/>
      <c r="O1011" s="1"/>
      <c r="P1011" s="1"/>
      <c r="Q1011" s="1"/>
      <c r="R1011" s="1"/>
      <c r="S1011" s="1"/>
    </row>
    <row r="1012" spans="1:19" s="62" customFormat="1">
      <c r="A1012" s="1"/>
      <c r="B1012" s="171" t="s">
        <v>108</v>
      </c>
      <c r="C1012" s="168"/>
      <c r="D1012" s="140"/>
      <c r="E1012" s="168"/>
      <c r="F1012" s="168"/>
      <c r="G1012" s="169"/>
      <c r="H1012" s="139">
        <v>0.308</v>
      </c>
      <c r="I1012" s="141">
        <f t="shared" si="33"/>
        <v>0.308</v>
      </c>
      <c r="J1012" s="142">
        <f t="shared" si="34"/>
        <v>100</v>
      </c>
      <c r="K1012" s="170" t="s">
        <v>982</v>
      </c>
      <c r="N1012" s="1"/>
      <c r="O1012" s="1"/>
      <c r="P1012" s="1"/>
      <c r="Q1012" s="1"/>
      <c r="R1012" s="1"/>
      <c r="S1012" s="1"/>
    </row>
    <row r="1013" spans="1:19" s="62" customFormat="1">
      <c r="A1013" s="1"/>
      <c r="B1013" s="171" t="s">
        <v>109</v>
      </c>
      <c r="C1013" s="168"/>
      <c r="D1013" s="140"/>
      <c r="E1013" s="168">
        <v>12.526</v>
      </c>
      <c r="F1013" s="168"/>
      <c r="G1013" s="169"/>
      <c r="H1013" s="139">
        <f>1.54+11.088</f>
        <v>12.628</v>
      </c>
      <c r="I1013" s="141">
        <f t="shared" si="33"/>
        <v>0.10200000000000031</v>
      </c>
      <c r="J1013" s="142">
        <f t="shared" si="34"/>
        <v>0.80772885650934678</v>
      </c>
      <c r="K1013" s="170" t="s">
        <v>983</v>
      </c>
      <c r="N1013" s="1"/>
      <c r="O1013" s="1"/>
      <c r="P1013" s="1"/>
      <c r="Q1013" s="1"/>
      <c r="R1013" s="1"/>
      <c r="S1013" s="1"/>
    </row>
    <row r="1014" spans="1:19" s="62" customFormat="1">
      <c r="A1014" s="1"/>
      <c r="B1014" s="171" t="s">
        <v>111</v>
      </c>
      <c r="C1014" s="168"/>
      <c r="D1014" s="140"/>
      <c r="E1014" s="168"/>
      <c r="F1014" s="168"/>
      <c r="G1014" s="169"/>
      <c r="H1014" s="139"/>
      <c r="I1014" s="141"/>
      <c r="J1014" s="142"/>
      <c r="K1014" s="170"/>
      <c r="N1014" s="1"/>
      <c r="O1014" s="1"/>
      <c r="P1014" s="1"/>
      <c r="Q1014" s="1"/>
      <c r="R1014" s="1"/>
      <c r="S1014" s="1"/>
    </row>
    <row r="1015" spans="1:19" s="62" customFormat="1">
      <c r="A1015" s="1"/>
      <c r="B1015" s="221" t="s">
        <v>46</v>
      </c>
      <c r="C1015" s="222"/>
      <c r="D1015" s="223"/>
      <c r="E1015" s="222">
        <f>+E1016+E1027</f>
        <v>396.0856</v>
      </c>
      <c r="F1015" s="222"/>
      <c r="G1015" s="223"/>
      <c r="H1015" s="222">
        <f>+H1016+H1027</f>
        <v>722.76189999999997</v>
      </c>
      <c r="I1015" s="224">
        <f t="shared" si="33"/>
        <v>326.67629999999997</v>
      </c>
      <c r="J1015" s="225">
        <f t="shared" si="34"/>
        <v>45.198328799567328</v>
      </c>
      <c r="K1015" s="226"/>
      <c r="N1015" s="1"/>
      <c r="O1015" s="1"/>
      <c r="P1015" s="1"/>
      <c r="Q1015" s="1"/>
      <c r="R1015" s="1"/>
      <c r="S1015" s="1"/>
    </row>
    <row r="1016" spans="1:19" s="62" customFormat="1">
      <c r="A1016" s="1"/>
      <c r="B1016" s="179" t="s">
        <v>47</v>
      </c>
      <c r="C1016" s="180"/>
      <c r="D1016" s="181"/>
      <c r="E1016" s="180">
        <f>+E1018</f>
        <v>16.138000000000002</v>
      </c>
      <c r="F1016" s="180"/>
      <c r="G1016" s="181"/>
      <c r="H1016" s="180">
        <f>+H1018</f>
        <v>77.641900000000007</v>
      </c>
      <c r="I1016" s="182">
        <f t="shared" si="33"/>
        <v>61.503900000000002</v>
      </c>
      <c r="J1016" s="183">
        <f t="shared" si="34"/>
        <v>79.214831167191946</v>
      </c>
      <c r="K1016" s="184"/>
      <c r="N1016" s="1"/>
      <c r="O1016" s="1"/>
      <c r="P1016" s="1"/>
      <c r="Q1016" s="1"/>
      <c r="R1016" s="1"/>
      <c r="S1016" s="1"/>
    </row>
    <row r="1017" spans="1:19" s="62" customFormat="1">
      <c r="A1017" s="1"/>
      <c r="B1017" s="167" t="s">
        <v>19</v>
      </c>
      <c r="C1017" s="168"/>
      <c r="D1017" s="140"/>
      <c r="E1017" s="168"/>
      <c r="F1017" s="168"/>
      <c r="G1017" s="169"/>
      <c r="H1017" s="168"/>
      <c r="I1017" s="168"/>
      <c r="J1017" s="168"/>
      <c r="K1017" s="170"/>
      <c r="N1017" s="1"/>
      <c r="O1017" s="1"/>
      <c r="P1017" s="1"/>
      <c r="Q1017" s="1"/>
      <c r="R1017" s="1"/>
      <c r="S1017" s="1"/>
    </row>
    <row r="1018" spans="1:19" s="62" customFormat="1">
      <c r="A1018" s="1"/>
      <c r="B1018" s="216" t="s">
        <v>110</v>
      </c>
      <c r="C1018" s="133"/>
      <c r="D1018" s="134"/>
      <c r="E1018" s="133">
        <v>16.138000000000002</v>
      </c>
      <c r="F1018" s="133"/>
      <c r="G1018" s="134"/>
      <c r="H1018" s="133">
        <f>+H1019</f>
        <v>77.641900000000007</v>
      </c>
      <c r="I1018" s="135">
        <f t="shared" si="33"/>
        <v>61.503900000000002</v>
      </c>
      <c r="J1018" s="136">
        <f t="shared" si="34"/>
        <v>79.214831167191946</v>
      </c>
      <c r="K1018" s="137"/>
      <c r="N1018" s="1"/>
      <c r="O1018" s="1"/>
      <c r="P1018" s="1"/>
      <c r="Q1018" s="1"/>
      <c r="R1018" s="1"/>
      <c r="S1018" s="1"/>
    </row>
    <row r="1019" spans="1:19" s="62" customFormat="1" ht="37.5">
      <c r="A1019" s="1"/>
      <c r="B1019" s="171" t="s">
        <v>1002</v>
      </c>
      <c r="C1019" s="168"/>
      <c r="D1019" s="140"/>
      <c r="E1019" s="168"/>
      <c r="F1019" s="168"/>
      <c r="G1019" s="169"/>
      <c r="H1019" s="139">
        <v>77.641900000000007</v>
      </c>
      <c r="I1019" s="141">
        <f t="shared" si="33"/>
        <v>77.641900000000007</v>
      </c>
      <c r="J1019" s="142">
        <f t="shared" si="34"/>
        <v>100</v>
      </c>
      <c r="K1019" s="170"/>
      <c r="N1019" s="1"/>
      <c r="O1019" s="1"/>
      <c r="P1019" s="1"/>
      <c r="Q1019" s="1"/>
      <c r="R1019" s="1"/>
      <c r="S1019" s="1"/>
    </row>
    <row r="1020" spans="1:19" s="62" customFormat="1">
      <c r="A1020" s="1"/>
      <c r="B1020" s="171" t="s">
        <v>18</v>
      </c>
      <c r="C1020" s="168"/>
      <c r="D1020" s="140"/>
      <c r="E1020" s="168"/>
      <c r="F1020" s="168"/>
      <c r="G1020" s="169"/>
      <c r="H1020" s="139"/>
      <c r="I1020" s="141"/>
      <c r="J1020" s="142"/>
      <c r="K1020" s="170"/>
      <c r="N1020" s="1"/>
      <c r="O1020" s="1"/>
      <c r="P1020" s="1"/>
      <c r="Q1020" s="1"/>
      <c r="R1020" s="1"/>
      <c r="S1020" s="1"/>
    </row>
    <row r="1021" spans="1:19" s="62" customFormat="1">
      <c r="A1021" s="1"/>
      <c r="B1021" s="167" t="s">
        <v>22</v>
      </c>
      <c r="C1021" s="168"/>
      <c r="D1021" s="140"/>
      <c r="E1021" s="168"/>
      <c r="F1021" s="168"/>
      <c r="G1021" s="169"/>
      <c r="H1021" s="139"/>
      <c r="I1021" s="141"/>
      <c r="J1021" s="142"/>
      <c r="K1021" s="170"/>
      <c r="N1021" s="1"/>
      <c r="O1021" s="1"/>
      <c r="P1021" s="1"/>
      <c r="Q1021" s="1"/>
      <c r="R1021" s="1"/>
      <c r="S1021" s="1"/>
    </row>
    <row r="1022" spans="1:19" s="62" customFormat="1">
      <c r="A1022" s="1"/>
      <c r="B1022" s="167" t="s">
        <v>48</v>
      </c>
      <c r="C1022" s="168"/>
      <c r="D1022" s="140"/>
      <c r="E1022" s="168"/>
      <c r="F1022" s="168"/>
      <c r="G1022" s="169"/>
      <c r="H1022" s="139"/>
      <c r="I1022" s="141"/>
      <c r="J1022" s="142"/>
      <c r="K1022" s="170"/>
      <c r="N1022" s="1"/>
      <c r="O1022" s="1"/>
      <c r="P1022" s="1"/>
      <c r="Q1022" s="1"/>
      <c r="R1022" s="1"/>
      <c r="S1022" s="1"/>
    </row>
    <row r="1023" spans="1:19" s="62" customFormat="1">
      <c r="A1023" s="1"/>
      <c r="B1023" s="171" t="s">
        <v>23</v>
      </c>
      <c r="C1023" s="168"/>
      <c r="D1023" s="140"/>
      <c r="E1023" s="168"/>
      <c r="F1023" s="168"/>
      <c r="G1023" s="169"/>
      <c r="H1023" s="139"/>
      <c r="I1023" s="141"/>
      <c r="J1023" s="142"/>
      <c r="K1023" s="170"/>
      <c r="N1023" s="1"/>
      <c r="O1023" s="1"/>
      <c r="P1023" s="1"/>
      <c r="Q1023" s="1"/>
      <c r="R1023" s="1"/>
      <c r="S1023" s="1"/>
    </row>
    <row r="1024" spans="1:19" s="62" customFormat="1">
      <c r="A1024" s="1"/>
      <c r="B1024" s="167" t="s">
        <v>20</v>
      </c>
      <c r="C1024" s="168"/>
      <c r="D1024" s="140"/>
      <c r="E1024" s="168"/>
      <c r="F1024" s="168"/>
      <c r="G1024" s="169"/>
      <c r="H1024" s="139"/>
      <c r="I1024" s="141"/>
      <c r="J1024" s="142"/>
      <c r="K1024" s="170"/>
      <c r="N1024" s="1"/>
      <c r="O1024" s="1"/>
      <c r="P1024" s="1"/>
      <c r="Q1024" s="1"/>
      <c r="R1024" s="1"/>
      <c r="S1024" s="1"/>
    </row>
    <row r="1025" spans="1:19" s="62" customFormat="1">
      <c r="A1025" s="1"/>
      <c r="B1025" s="167" t="s">
        <v>48</v>
      </c>
      <c r="C1025" s="168"/>
      <c r="D1025" s="140"/>
      <c r="E1025" s="168"/>
      <c r="F1025" s="168"/>
      <c r="G1025" s="169"/>
      <c r="H1025" s="139"/>
      <c r="I1025" s="141"/>
      <c r="J1025" s="142"/>
      <c r="K1025" s="170"/>
      <c r="N1025" s="1"/>
      <c r="O1025" s="1"/>
      <c r="P1025" s="1"/>
      <c r="Q1025" s="1"/>
      <c r="R1025" s="1"/>
      <c r="S1025" s="1"/>
    </row>
    <row r="1026" spans="1:19" s="62" customFormat="1">
      <c r="A1026" s="1"/>
      <c r="B1026" s="171" t="s">
        <v>23</v>
      </c>
      <c r="C1026" s="168"/>
      <c r="D1026" s="140"/>
      <c r="E1026" s="168"/>
      <c r="F1026" s="168"/>
      <c r="G1026" s="169"/>
      <c r="H1026" s="139"/>
      <c r="I1026" s="141"/>
      <c r="J1026" s="142"/>
      <c r="K1026" s="170"/>
      <c r="N1026" s="1"/>
      <c r="O1026" s="1"/>
      <c r="P1026" s="1"/>
      <c r="Q1026" s="1"/>
      <c r="R1026" s="1"/>
      <c r="S1026" s="1"/>
    </row>
    <row r="1027" spans="1:19" s="62" customFormat="1">
      <c r="A1027" s="1"/>
      <c r="B1027" s="179" t="s">
        <v>49</v>
      </c>
      <c r="C1027" s="180"/>
      <c r="D1027" s="181"/>
      <c r="E1027" s="180">
        <f>+E1029+E1032</f>
        <v>379.94760000000002</v>
      </c>
      <c r="F1027" s="180"/>
      <c r="G1027" s="181"/>
      <c r="H1027" s="180">
        <f>+H1029</f>
        <v>645.12</v>
      </c>
      <c r="I1027" s="182">
        <f t="shared" si="33"/>
        <v>265.17239999999998</v>
      </c>
      <c r="J1027" s="183">
        <f t="shared" si="34"/>
        <v>41.104352678571423</v>
      </c>
      <c r="K1027" s="184"/>
      <c r="N1027" s="1"/>
      <c r="O1027" s="1"/>
      <c r="P1027" s="1"/>
      <c r="Q1027" s="1"/>
      <c r="R1027" s="1"/>
      <c r="S1027" s="1"/>
    </row>
    <row r="1028" spans="1:19" s="62" customFormat="1">
      <c r="A1028" s="1"/>
      <c r="B1028" s="167" t="s">
        <v>19</v>
      </c>
      <c r="C1028" s="168"/>
      <c r="D1028" s="140"/>
      <c r="E1028" s="168"/>
      <c r="F1028" s="168"/>
      <c r="G1028" s="169"/>
      <c r="H1028" s="168"/>
      <c r="I1028" s="168"/>
      <c r="J1028" s="168"/>
      <c r="K1028" s="170"/>
      <c r="N1028" s="1"/>
      <c r="O1028" s="1"/>
      <c r="P1028" s="1"/>
      <c r="Q1028" s="1"/>
      <c r="R1028" s="1"/>
      <c r="S1028" s="1"/>
    </row>
    <row r="1029" spans="1:19" s="62" customFormat="1">
      <c r="A1029" s="1"/>
      <c r="B1029" s="216" t="s">
        <v>50</v>
      </c>
      <c r="C1029" s="133"/>
      <c r="D1029" s="134"/>
      <c r="E1029" s="133">
        <v>147.30260000000001</v>
      </c>
      <c r="F1029" s="133"/>
      <c r="G1029" s="134"/>
      <c r="H1029" s="180">
        <f>+H1030</f>
        <v>645.12</v>
      </c>
      <c r="I1029" s="182">
        <f t="shared" si="33"/>
        <v>497.81740000000002</v>
      </c>
      <c r="J1029" s="183">
        <f t="shared" si="34"/>
        <v>77.166635664682545</v>
      </c>
      <c r="K1029" s="137"/>
      <c r="N1029" s="1"/>
      <c r="O1029" s="1"/>
      <c r="P1029" s="1"/>
      <c r="Q1029" s="1"/>
      <c r="R1029" s="1"/>
      <c r="S1029" s="1"/>
    </row>
    <row r="1030" spans="1:19" s="62" customFormat="1" ht="27.75" customHeight="1">
      <c r="A1030" s="16"/>
      <c r="B1030" s="171" t="s">
        <v>1003</v>
      </c>
      <c r="C1030" s="168"/>
      <c r="D1030" s="140"/>
      <c r="E1030" s="168"/>
      <c r="F1030" s="168"/>
      <c r="G1030" s="169"/>
      <c r="H1030" s="139">
        <v>645.12</v>
      </c>
      <c r="I1030" s="141">
        <f t="shared" si="33"/>
        <v>645.12</v>
      </c>
      <c r="J1030" s="142">
        <f t="shared" si="34"/>
        <v>100</v>
      </c>
      <c r="K1030" s="170"/>
      <c r="N1030" s="1"/>
      <c r="O1030" s="1"/>
      <c r="P1030" s="1"/>
      <c r="Q1030" s="1"/>
      <c r="R1030" s="1"/>
      <c r="S1030" s="1"/>
    </row>
    <row r="1031" spans="1:19" s="62" customFormat="1" ht="27.75" customHeight="1">
      <c r="A1031" s="1"/>
      <c r="B1031" s="171" t="s">
        <v>18</v>
      </c>
      <c r="C1031" s="168"/>
      <c r="D1031" s="140"/>
      <c r="E1031" s="168"/>
      <c r="F1031" s="168"/>
      <c r="G1031" s="169"/>
      <c r="H1031" s="139"/>
      <c r="I1031" s="141"/>
      <c r="J1031" s="142"/>
      <c r="K1031" s="170"/>
      <c r="N1031" s="1"/>
      <c r="O1031" s="1"/>
      <c r="P1031" s="1"/>
      <c r="Q1031" s="1"/>
      <c r="R1031" s="1"/>
      <c r="S1031" s="1"/>
    </row>
    <row r="1032" spans="1:19" s="62" customFormat="1" ht="37.5">
      <c r="A1032" s="1"/>
      <c r="B1032" s="216" t="s">
        <v>190</v>
      </c>
      <c r="C1032" s="133"/>
      <c r="D1032" s="134"/>
      <c r="E1032" s="133">
        <v>232.64500000000001</v>
      </c>
      <c r="F1032" s="133"/>
      <c r="G1032" s="134"/>
      <c r="H1032" s="133"/>
      <c r="I1032" s="135">
        <f t="shared" si="33"/>
        <v>-232.64500000000001</v>
      </c>
      <c r="J1032" s="136">
        <v>0</v>
      </c>
      <c r="K1032" s="137"/>
      <c r="N1032" s="1"/>
      <c r="O1032" s="1"/>
      <c r="P1032" s="1"/>
      <c r="Q1032" s="1"/>
      <c r="R1032" s="1"/>
      <c r="S1032" s="1"/>
    </row>
    <row r="1033" spans="1:19" s="62" customFormat="1">
      <c r="A1033" s="1"/>
      <c r="B1033" s="167" t="s">
        <v>51</v>
      </c>
      <c r="C1033" s="168"/>
      <c r="D1033" s="140"/>
      <c r="E1033" s="168"/>
      <c r="F1033" s="168"/>
      <c r="G1033" s="169"/>
      <c r="H1033" s="139"/>
      <c r="I1033" s="141"/>
      <c r="J1033" s="142"/>
      <c r="K1033" s="170"/>
      <c r="N1033" s="1"/>
      <c r="O1033" s="1"/>
      <c r="P1033" s="1"/>
      <c r="Q1033" s="1"/>
      <c r="R1033" s="1"/>
      <c r="S1033" s="1"/>
    </row>
    <row r="1034" spans="1:19" s="62" customFormat="1">
      <c r="A1034" s="1"/>
      <c r="B1034" s="171" t="s">
        <v>23</v>
      </c>
      <c r="C1034" s="168"/>
      <c r="D1034" s="140"/>
      <c r="E1034" s="168"/>
      <c r="F1034" s="168"/>
      <c r="G1034" s="169"/>
      <c r="H1034" s="139"/>
      <c r="I1034" s="141"/>
      <c r="J1034" s="142"/>
      <c r="K1034" s="170"/>
      <c r="N1034" s="1"/>
      <c r="O1034" s="1"/>
      <c r="P1034" s="1"/>
      <c r="Q1034" s="1"/>
      <c r="R1034" s="1"/>
      <c r="S1034" s="1"/>
    </row>
    <row r="1035" spans="1:19" s="62" customFormat="1">
      <c r="A1035" s="1"/>
      <c r="B1035" s="167" t="s">
        <v>20</v>
      </c>
      <c r="C1035" s="168"/>
      <c r="D1035" s="140"/>
      <c r="E1035" s="168"/>
      <c r="F1035" s="168"/>
      <c r="G1035" s="169"/>
      <c r="H1035" s="139"/>
      <c r="I1035" s="141"/>
      <c r="J1035" s="142"/>
      <c r="K1035" s="170"/>
      <c r="N1035" s="1"/>
      <c r="O1035" s="1"/>
      <c r="P1035" s="1"/>
      <c r="Q1035" s="1"/>
      <c r="R1035" s="1"/>
      <c r="S1035" s="1"/>
    </row>
    <row r="1036" spans="1:19" s="62" customFormat="1">
      <c r="A1036" s="1"/>
      <c r="B1036" s="167" t="s">
        <v>51</v>
      </c>
      <c r="C1036" s="168"/>
      <c r="D1036" s="140"/>
      <c r="E1036" s="168"/>
      <c r="F1036" s="168"/>
      <c r="G1036" s="169"/>
      <c r="H1036" s="139"/>
      <c r="I1036" s="141"/>
      <c r="J1036" s="142"/>
      <c r="K1036" s="170"/>
      <c r="N1036" s="1"/>
      <c r="O1036" s="1"/>
      <c r="P1036" s="1"/>
      <c r="Q1036" s="1"/>
      <c r="R1036" s="1"/>
      <c r="S1036" s="1"/>
    </row>
    <row r="1037" spans="1:19" s="62" customFormat="1">
      <c r="A1037" s="1"/>
      <c r="B1037" s="171" t="s">
        <v>23</v>
      </c>
      <c r="C1037" s="168"/>
      <c r="D1037" s="140"/>
      <c r="E1037" s="168"/>
      <c r="F1037" s="168"/>
      <c r="G1037" s="169"/>
      <c r="H1037" s="139"/>
      <c r="I1037" s="141"/>
      <c r="J1037" s="142"/>
      <c r="K1037" s="170"/>
      <c r="N1037" s="1"/>
      <c r="O1037" s="1"/>
      <c r="P1037" s="1"/>
      <c r="Q1037" s="1"/>
      <c r="R1037" s="1"/>
      <c r="S1037" s="1"/>
    </row>
    <row r="1038" spans="1:19" s="62" customFormat="1">
      <c r="A1038" s="1"/>
      <c r="B1038" s="216" t="s">
        <v>53</v>
      </c>
      <c r="C1038" s="133"/>
      <c r="D1038" s="134"/>
      <c r="E1038" s="133">
        <f>SUM(E1039:E1042)</f>
        <v>0</v>
      </c>
      <c r="F1038" s="133"/>
      <c r="G1038" s="134"/>
      <c r="H1038" s="133">
        <f>SUM(H1039:H1042)</f>
        <v>0</v>
      </c>
      <c r="I1038" s="135"/>
      <c r="J1038" s="136"/>
      <c r="K1038" s="137"/>
      <c r="N1038" s="1"/>
      <c r="O1038" s="1"/>
      <c r="P1038" s="1"/>
      <c r="Q1038" s="1"/>
      <c r="R1038" s="1"/>
      <c r="S1038" s="1"/>
    </row>
    <row r="1039" spans="1:19" s="62" customFormat="1">
      <c r="A1039" s="1"/>
      <c r="B1039" s="167" t="s">
        <v>52</v>
      </c>
      <c r="C1039" s="168"/>
      <c r="D1039" s="140"/>
      <c r="E1039" s="168"/>
      <c r="F1039" s="168"/>
      <c r="G1039" s="169"/>
      <c r="H1039" s="139"/>
      <c r="I1039" s="141"/>
      <c r="J1039" s="142"/>
      <c r="K1039" s="170"/>
      <c r="N1039" s="1"/>
      <c r="O1039" s="1"/>
      <c r="P1039" s="1"/>
      <c r="Q1039" s="1"/>
      <c r="R1039" s="1"/>
      <c r="S1039" s="1"/>
    </row>
    <row r="1040" spans="1:19" s="62" customFormat="1">
      <c r="A1040" s="1"/>
      <c r="B1040" s="167"/>
      <c r="C1040" s="168"/>
      <c r="D1040" s="140"/>
      <c r="E1040" s="168"/>
      <c r="F1040" s="168"/>
      <c r="G1040" s="169"/>
      <c r="H1040" s="139"/>
      <c r="I1040" s="141"/>
      <c r="J1040" s="142"/>
      <c r="K1040" s="170"/>
      <c r="N1040" s="1"/>
      <c r="O1040" s="1"/>
      <c r="P1040" s="1"/>
      <c r="Q1040" s="1"/>
      <c r="R1040" s="1"/>
      <c r="S1040" s="1"/>
    </row>
    <row r="1041" spans="1:19" s="62" customFormat="1">
      <c r="A1041" s="1"/>
      <c r="B1041" s="167" t="s">
        <v>55</v>
      </c>
      <c r="C1041" s="168"/>
      <c r="D1041" s="140"/>
      <c r="E1041" s="168"/>
      <c r="F1041" s="168"/>
      <c r="G1041" s="169"/>
      <c r="H1041" s="139"/>
      <c r="I1041" s="141"/>
      <c r="J1041" s="142"/>
      <c r="K1041" s="170"/>
      <c r="N1041" s="1"/>
      <c r="O1041" s="1"/>
      <c r="P1041" s="1"/>
      <c r="Q1041" s="1"/>
      <c r="R1041" s="1"/>
      <c r="S1041" s="1"/>
    </row>
    <row r="1042" spans="1:19" s="62" customFormat="1">
      <c r="A1042" s="1"/>
      <c r="B1042" s="167"/>
      <c r="C1042" s="168"/>
      <c r="D1042" s="140"/>
      <c r="E1042" s="168"/>
      <c r="F1042" s="168"/>
      <c r="G1042" s="169"/>
      <c r="H1042" s="139"/>
      <c r="I1042" s="141"/>
      <c r="J1042" s="142"/>
      <c r="K1042" s="170"/>
      <c r="N1042" s="1"/>
      <c r="O1042" s="1"/>
      <c r="P1042" s="1"/>
      <c r="Q1042" s="1"/>
      <c r="R1042" s="1"/>
      <c r="S1042" s="1"/>
    </row>
    <row r="1043" spans="1:19" s="62" customFormat="1">
      <c r="A1043" s="1"/>
      <c r="B1043" s="185" t="s">
        <v>56</v>
      </c>
      <c r="C1043" s="145"/>
      <c r="D1043" s="146"/>
      <c r="E1043" s="145">
        <f>SUM(E1044:E1045)</f>
        <v>0</v>
      </c>
      <c r="F1043" s="145"/>
      <c r="G1043" s="146"/>
      <c r="H1043" s="145">
        <f>SUM(H1044:H1045)</f>
        <v>0</v>
      </c>
      <c r="I1043" s="147"/>
      <c r="J1043" s="148"/>
      <c r="K1043" s="149"/>
      <c r="N1043" s="1"/>
      <c r="O1043" s="1"/>
      <c r="P1043" s="1"/>
      <c r="Q1043" s="1"/>
      <c r="R1043" s="1"/>
      <c r="S1043" s="1"/>
    </row>
    <row r="1044" spans="1:19" s="62" customFormat="1">
      <c r="A1044" s="1"/>
      <c r="B1044" s="167"/>
      <c r="C1044" s="168"/>
      <c r="D1044" s="140"/>
      <c r="E1044" s="168"/>
      <c r="F1044" s="168"/>
      <c r="G1044" s="169"/>
      <c r="H1044" s="139"/>
      <c r="I1044" s="141"/>
      <c r="J1044" s="142"/>
      <c r="K1044" s="170"/>
      <c r="N1044" s="1"/>
      <c r="O1044" s="1"/>
      <c r="P1044" s="1"/>
      <c r="Q1044" s="1"/>
      <c r="R1044" s="1"/>
      <c r="S1044" s="1"/>
    </row>
    <row r="1045" spans="1:19" s="62" customFormat="1">
      <c r="A1045" s="1"/>
      <c r="B1045" s="167"/>
      <c r="C1045" s="168"/>
      <c r="D1045" s="140"/>
      <c r="E1045" s="168"/>
      <c r="F1045" s="168"/>
      <c r="G1045" s="169"/>
      <c r="H1045" s="139"/>
      <c r="I1045" s="141"/>
      <c r="J1045" s="142"/>
      <c r="K1045" s="170"/>
      <c r="N1045" s="1"/>
      <c r="O1045" s="1"/>
      <c r="P1045" s="1"/>
      <c r="Q1045" s="1"/>
      <c r="R1045" s="1"/>
      <c r="S1045" s="1"/>
    </row>
    <row r="1046" spans="1:19" s="62" customFormat="1">
      <c r="A1046" s="1"/>
      <c r="B1046" s="186"/>
      <c r="C1046" s="187"/>
      <c r="D1046" s="188"/>
      <c r="E1046" s="187"/>
      <c r="F1046" s="187"/>
      <c r="G1046" s="189"/>
      <c r="H1046" s="262"/>
      <c r="I1046" s="190"/>
      <c r="J1046" s="191"/>
      <c r="K1046" s="192"/>
      <c r="N1046" s="1"/>
      <c r="O1046" s="1"/>
      <c r="P1046" s="1"/>
      <c r="Q1046" s="1"/>
      <c r="R1046" s="1"/>
      <c r="S1046" s="1"/>
    </row>
    <row r="1048" spans="1:19" s="62" customFormat="1">
      <c r="A1048" s="1"/>
      <c r="B1048" s="8" t="s">
        <v>65</v>
      </c>
      <c r="C1048" s="11"/>
      <c r="D1048" s="18"/>
      <c r="E1048" s="11"/>
      <c r="F1048" s="11"/>
      <c r="G1048" s="18"/>
      <c r="H1048" s="11"/>
      <c r="I1048" s="96"/>
      <c r="J1048" s="101"/>
      <c r="K1048" s="1"/>
      <c r="N1048" s="1"/>
      <c r="O1048" s="1"/>
      <c r="P1048" s="1"/>
      <c r="Q1048" s="1"/>
      <c r="R1048" s="1"/>
      <c r="S1048" s="1"/>
    </row>
    <row r="1049" spans="1:19" s="62" customFormat="1">
      <c r="A1049" s="1"/>
      <c r="B1049" s="9" t="s">
        <v>70</v>
      </c>
      <c r="C1049" s="11"/>
      <c r="D1049" s="18"/>
      <c r="E1049" s="11"/>
      <c r="F1049" s="11"/>
      <c r="G1049" s="18"/>
      <c r="H1049" s="11"/>
      <c r="I1049" s="96"/>
      <c r="J1049" s="101"/>
      <c r="K1049" s="1"/>
      <c r="N1049" s="1"/>
      <c r="O1049" s="1"/>
      <c r="P1049" s="1"/>
      <c r="Q1049" s="1"/>
      <c r="R1049" s="1"/>
      <c r="S1049" s="1"/>
    </row>
    <row r="1050" spans="1:19" s="101" customFormat="1" ht="20.25">
      <c r="A1050" s="1"/>
      <c r="B1050" s="10" t="s">
        <v>73</v>
      </c>
      <c r="C1050" s="15"/>
      <c r="D1050" s="23"/>
      <c r="E1050" s="15"/>
      <c r="F1050" s="15"/>
      <c r="G1050" s="22"/>
      <c r="H1050" s="15"/>
      <c r="I1050" s="100"/>
      <c r="K1050" s="1"/>
      <c r="L1050" s="62"/>
      <c r="M1050" s="62"/>
      <c r="N1050" s="1"/>
      <c r="O1050" s="1"/>
      <c r="P1050" s="1"/>
      <c r="Q1050" s="1"/>
      <c r="R1050" s="1"/>
      <c r="S1050" s="1"/>
    </row>
    <row r="1051" spans="1:19" s="101" customFormat="1" ht="20.25">
      <c r="A1051" s="1"/>
      <c r="B1051" s="7" t="s">
        <v>71</v>
      </c>
      <c r="C1051" s="15"/>
      <c r="D1051" s="23"/>
      <c r="E1051" s="15"/>
      <c r="F1051" s="11"/>
      <c r="G1051" s="22"/>
      <c r="H1051" s="11"/>
      <c r="I1051" s="96"/>
      <c r="K1051" s="1"/>
      <c r="L1051" s="62"/>
      <c r="M1051" s="62"/>
      <c r="N1051" s="1"/>
      <c r="O1051" s="1"/>
      <c r="P1051" s="1"/>
      <c r="Q1051" s="1"/>
      <c r="R1051" s="1"/>
      <c r="S1051" s="1"/>
    </row>
  </sheetData>
  <mergeCells count="6">
    <mergeCell ref="M813:O813"/>
    <mergeCell ref="B2:K2"/>
    <mergeCell ref="B6:B7"/>
    <mergeCell ref="C6:E6"/>
    <mergeCell ref="F6:H6"/>
    <mergeCell ref="K6:K7"/>
  </mergeCells>
  <pageMargins left="0.25" right="0.2" top="0.33" bottom="0.32" header="0.18" footer="0.24"/>
  <pageSetup paperSize="9" scale="85" fitToHeight="0" orientation="landscape" useFirstPageNumber="1" r:id="rId1"/>
  <headerFooter differentFirst="1">
    <oddHeader>&amp;C&amp;"TH SarabunPSK,ธรรมดา"&amp;16&amp;P</oddHeader>
  </headerFooter>
  <rowBreaks count="1" manualBreakCount="1">
    <brk id="2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2:S571"/>
  <sheetViews>
    <sheetView zoomScalePageLayoutView="110" workbookViewId="0">
      <pane xSplit="2" ySplit="8" topLeftCell="F9" activePane="bottomRight" state="frozen"/>
      <selection pane="topRight" activeCell="C1" sqref="C1"/>
      <selection pane="bottomLeft" activeCell="A9" sqref="A9"/>
      <selection pane="bottomRight" activeCell="E20" sqref="E20"/>
    </sheetView>
  </sheetViews>
  <sheetFormatPr defaultRowHeight="18.75"/>
  <cols>
    <col min="1" max="1" width="1.625" style="1" customWidth="1"/>
    <col min="2" max="2" width="36.25" style="4" customWidth="1"/>
    <col min="3" max="3" width="9" style="11" customWidth="1"/>
    <col min="4" max="4" width="8.75" style="18" customWidth="1"/>
    <col min="5" max="5" width="13.25" style="11" customWidth="1"/>
    <col min="6" max="6" width="7.875" style="11" customWidth="1"/>
    <col min="7" max="7" width="8.25" style="18" customWidth="1"/>
    <col min="8" max="8" width="13.25" style="11" customWidth="1"/>
    <col min="9" max="9" width="9.5" style="96" customWidth="1"/>
    <col min="10" max="10" width="10" style="101" customWidth="1"/>
    <col min="11" max="11" width="38.25" style="1" customWidth="1"/>
    <col min="12" max="12" width="10.375" style="62" customWidth="1"/>
    <col min="13" max="13" width="9.625" style="62" bestFit="1" customWidth="1"/>
    <col min="14" max="14" width="10.875" style="1" bestFit="1" customWidth="1"/>
    <col min="15" max="252" width="9" style="1"/>
    <col min="253" max="253" width="1.625" style="1" customWidth="1"/>
    <col min="254" max="254" width="35" style="1" customWidth="1"/>
    <col min="255" max="258" width="13.25" style="1" customWidth="1"/>
    <col min="259" max="259" width="38.875" style="1" customWidth="1"/>
    <col min="260" max="260" width="16.75" style="1" customWidth="1"/>
    <col min="261" max="508" width="9" style="1"/>
    <col min="509" max="509" width="1.625" style="1" customWidth="1"/>
    <col min="510" max="510" width="35" style="1" customWidth="1"/>
    <col min="511" max="514" width="13.25" style="1" customWidth="1"/>
    <col min="515" max="515" width="38.875" style="1" customWidth="1"/>
    <col min="516" max="516" width="16.75" style="1" customWidth="1"/>
    <col min="517" max="764" width="9" style="1"/>
    <col min="765" max="765" width="1.625" style="1" customWidth="1"/>
    <col min="766" max="766" width="35" style="1" customWidth="1"/>
    <col min="767" max="770" width="13.25" style="1" customWidth="1"/>
    <col min="771" max="771" width="38.875" style="1" customWidth="1"/>
    <col min="772" max="772" width="16.75" style="1" customWidth="1"/>
    <col min="773" max="1020" width="9" style="1"/>
    <col min="1021" max="1021" width="1.625" style="1" customWidth="1"/>
    <col min="1022" max="1022" width="35" style="1" customWidth="1"/>
    <col min="1023" max="1026" width="13.25" style="1" customWidth="1"/>
    <col min="1027" max="1027" width="38.875" style="1" customWidth="1"/>
    <col min="1028" max="1028" width="16.75" style="1" customWidth="1"/>
    <col min="1029" max="1276" width="9" style="1"/>
    <col min="1277" max="1277" width="1.625" style="1" customWidth="1"/>
    <col min="1278" max="1278" width="35" style="1" customWidth="1"/>
    <col min="1279" max="1282" width="13.25" style="1" customWidth="1"/>
    <col min="1283" max="1283" width="38.875" style="1" customWidth="1"/>
    <col min="1284" max="1284" width="16.75" style="1" customWidth="1"/>
    <col min="1285" max="1532" width="9" style="1"/>
    <col min="1533" max="1533" width="1.625" style="1" customWidth="1"/>
    <col min="1534" max="1534" width="35" style="1" customWidth="1"/>
    <col min="1535" max="1538" width="13.25" style="1" customWidth="1"/>
    <col min="1539" max="1539" width="38.875" style="1" customWidth="1"/>
    <col min="1540" max="1540" width="16.75" style="1" customWidth="1"/>
    <col min="1541" max="1788" width="9" style="1"/>
    <col min="1789" max="1789" width="1.625" style="1" customWidth="1"/>
    <col min="1790" max="1790" width="35" style="1" customWidth="1"/>
    <col min="1791" max="1794" width="13.25" style="1" customWidth="1"/>
    <col min="1795" max="1795" width="38.875" style="1" customWidth="1"/>
    <col min="1796" max="1796" width="16.75" style="1" customWidth="1"/>
    <col min="1797" max="2044" width="9" style="1"/>
    <col min="2045" max="2045" width="1.625" style="1" customWidth="1"/>
    <col min="2046" max="2046" width="35" style="1" customWidth="1"/>
    <col min="2047" max="2050" width="13.25" style="1" customWidth="1"/>
    <col min="2051" max="2051" width="38.875" style="1" customWidth="1"/>
    <col min="2052" max="2052" width="16.75" style="1" customWidth="1"/>
    <col min="2053" max="2300" width="9" style="1"/>
    <col min="2301" max="2301" width="1.625" style="1" customWidth="1"/>
    <col min="2302" max="2302" width="35" style="1" customWidth="1"/>
    <col min="2303" max="2306" width="13.25" style="1" customWidth="1"/>
    <col min="2307" max="2307" width="38.875" style="1" customWidth="1"/>
    <col min="2308" max="2308" width="16.75" style="1" customWidth="1"/>
    <col min="2309" max="2556" width="9" style="1"/>
    <col min="2557" max="2557" width="1.625" style="1" customWidth="1"/>
    <col min="2558" max="2558" width="35" style="1" customWidth="1"/>
    <col min="2559" max="2562" width="13.25" style="1" customWidth="1"/>
    <col min="2563" max="2563" width="38.875" style="1" customWidth="1"/>
    <col min="2564" max="2564" width="16.75" style="1" customWidth="1"/>
    <col min="2565" max="2812" width="9" style="1"/>
    <col min="2813" max="2813" width="1.625" style="1" customWidth="1"/>
    <col min="2814" max="2814" width="35" style="1" customWidth="1"/>
    <col min="2815" max="2818" width="13.25" style="1" customWidth="1"/>
    <col min="2819" max="2819" width="38.875" style="1" customWidth="1"/>
    <col min="2820" max="2820" width="16.75" style="1" customWidth="1"/>
    <col min="2821" max="3068" width="9" style="1"/>
    <col min="3069" max="3069" width="1.625" style="1" customWidth="1"/>
    <col min="3070" max="3070" width="35" style="1" customWidth="1"/>
    <col min="3071" max="3074" width="13.25" style="1" customWidth="1"/>
    <col min="3075" max="3075" width="38.875" style="1" customWidth="1"/>
    <col min="3076" max="3076" width="16.75" style="1" customWidth="1"/>
    <col min="3077" max="3324" width="9" style="1"/>
    <col min="3325" max="3325" width="1.625" style="1" customWidth="1"/>
    <col min="3326" max="3326" width="35" style="1" customWidth="1"/>
    <col min="3327" max="3330" width="13.25" style="1" customWidth="1"/>
    <col min="3331" max="3331" width="38.875" style="1" customWidth="1"/>
    <col min="3332" max="3332" width="16.75" style="1" customWidth="1"/>
    <col min="3333" max="3580" width="9" style="1"/>
    <col min="3581" max="3581" width="1.625" style="1" customWidth="1"/>
    <col min="3582" max="3582" width="35" style="1" customWidth="1"/>
    <col min="3583" max="3586" width="13.25" style="1" customWidth="1"/>
    <col min="3587" max="3587" width="38.875" style="1" customWidth="1"/>
    <col min="3588" max="3588" width="16.75" style="1" customWidth="1"/>
    <col min="3589" max="3836" width="9" style="1"/>
    <col min="3837" max="3837" width="1.625" style="1" customWidth="1"/>
    <col min="3838" max="3838" width="35" style="1" customWidth="1"/>
    <col min="3839" max="3842" width="13.25" style="1" customWidth="1"/>
    <col min="3843" max="3843" width="38.875" style="1" customWidth="1"/>
    <col min="3844" max="3844" width="16.75" style="1" customWidth="1"/>
    <col min="3845" max="4092" width="9" style="1"/>
    <col min="4093" max="4093" width="1.625" style="1" customWidth="1"/>
    <col min="4094" max="4094" width="35" style="1" customWidth="1"/>
    <col min="4095" max="4098" width="13.25" style="1" customWidth="1"/>
    <col min="4099" max="4099" width="38.875" style="1" customWidth="1"/>
    <col min="4100" max="4100" width="16.75" style="1" customWidth="1"/>
    <col min="4101" max="4348" width="9" style="1"/>
    <col min="4349" max="4349" width="1.625" style="1" customWidth="1"/>
    <col min="4350" max="4350" width="35" style="1" customWidth="1"/>
    <col min="4351" max="4354" width="13.25" style="1" customWidth="1"/>
    <col min="4355" max="4355" width="38.875" style="1" customWidth="1"/>
    <col min="4356" max="4356" width="16.75" style="1" customWidth="1"/>
    <col min="4357" max="4604" width="9" style="1"/>
    <col min="4605" max="4605" width="1.625" style="1" customWidth="1"/>
    <col min="4606" max="4606" width="35" style="1" customWidth="1"/>
    <col min="4607" max="4610" width="13.25" style="1" customWidth="1"/>
    <col min="4611" max="4611" width="38.875" style="1" customWidth="1"/>
    <col min="4612" max="4612" width="16.75" style="1" customWidth="1"/>
    <col min="4613" max="4860" width="9" style="1"/>
    <col min="4861" max="4861" width="1.625" style="1" customWidth="1"/>
    <col min="4862" max="4862" width="35" style="1" customWidth="1"/>
    <col min="4863" max="4866" width="13.25" style="1" customWidth="1"/>
    <col min="4867" max="4867" width="38.875" style="1" customWidth="1"/>
    <col min="4868" max="4868" width="16.75" style="1" customWidth="1"/>
    <col min="4869" max="5116" width="9" style="1"/>
    <col min="5117" max="5117" width="1.625" style="1" customWidth="1"/>
    <col min="5118" max="5118" width="35" style="1" customWidth="1"/>
    <col min="5119" max="5122" width="13.25" style="1" customWidth="1"/>
    <col min="5123" max="5123" width="38.875" style="1" customWidth="1"/>
    <col min="5124" max="5124" width="16.75" style="1" customWidth="1"/>
    <col min="5125" max="5372" width="9" style="1"/>
    <col min="5373" max="5373" width="1.625" style="1" customWidth="1"/>
    <col min="5374" max="5374" width="35" style="1" customWidth="1"/>
    <col min="5375" max="5378" width="13.25" style="1" customWidth="1"/>
    <col min="5379" max="5379" width="38.875" style="1" customWidth="1"/>
    <col min="5380" max="5380" width="16.75" style="1" customWidth="1"/>
    <col min="5381" max="5628" width="9" style="1"/>
    <col min="5629" max="5629" width="1.625" style="1" customWidth="1"/>
    <col min="5630" max="5630" width="35" style="1" customWidth="1"/>
    <col min="5631" max="5634" width="13.25" style="1" customWidth="1"/>
    <col min="5635" max="5635" width="38.875" style="1" customWidth="1"/>
    <col min="5636" max="5636" width="16.75" style="1" customWidth="1"/>
    <col min="5637" max="5884" width="9" style="1"/>
    <col min="5885" max="5885" width="1.625" style="1" customWidth="1"/>
    <col min="5886" max="5886" width="35" style="1" customWidth="1"/>
    <col min="5887" max="5890" width="13.25" style="1" customWidth="1"/>
    <col min="5891" max="5891" width="38.875" style="1" customWidth="1"/>
    <col min="5892" max="5892" width="16.75" style="1" customWidth="1"/>
    <col min="5893" max="6140" width="9" style="1"/>
    <col min="6141" max="6141" width="1.625" style="1" customWidth="1"/>
    <col min="6142" max="6142" width="35" style="1" customWidth="1"/>
    <col min="6143" max="6146" width="13.25" style="1" customWidth="1"/>
    <col min="6147" max="6147" width="38.875" style="1" customWidth="1"/>
    <col min="6148" max="6148" width="16.75" style="1" customWidth="1"/>
    <col min="6149" max="6396" width="9" style="1"/>
    <col min="6397" max="6397" width="1.625" style="1" customWidth="1"/>
    <col min="6398" max="6398" width="35" style="1" customWidth="1"/>
    <col min="6399" max="6402" width="13.25" style="1" customWidth="1"/>
    <col min="6403" max="6403" width="38.875" style="1" customWidth="1"/>
    <col min="6404" max="6404" width="16.75" style="1" customWidth="1"/>
    <col min="6405" max="6652" width="9" style="1"/>
    <col min="6653" max="6653" width="1.625" style="1" customWidth="1"/>
    <col min="6654" max="6654" width="35" style="1" customWidth="1"/>
    <col min="6655" max="6658" width="13.25" style="1" customWidth="1"/>
    <col min="6659" max="6659" width="38.875" style="1" customWidth="1"/>
    <col min="6660" max="6660" width="16.75" style="1" customWidth="1"/>
    <col min="6661" max="6908" width="9" style="1"/>
    <col min="6909" max="6909" width="1.625" style="1" customWidth="1"/>
    <col min="6910" max="6910" width="35" style="1" customWidth="1"/>
    <col min="6911" max="6914" width="13.25" style="1" customWidth="1"/>
    <col min="6915" max="6915" width="38.875" style="1" customWidth="1"/>
    <col min="6916" max="6916" width="16.75" style="1" customWidth="1"/>
    <col min="6917" max="7164" width="9" style="1"/>
    <col min="7165" max="7165" width="1.625" style="1" customWidth="1"/>
    <col min="7166" max="7166" width="35" style="1" customWidth="1"/>
    <col min="7167" max="7170" width="13.25" style="1" customWidth="1"/>
    <col min="7171" max="7171" width="38.875" style="1" customWidth="1"/>
    <col min="7172" max="7172" width="16.75" style="1" customWidth="1"/>
    <col min="7173" max="7420" width="9" style="1"/>
    <col min="7421" max="7421" width="1.625" style="1" customWidth="1"/>
    <col min="7422" max="7422" width="35" style="1" customWidth="1"/>
    <col min="7423" max="7426" width="13.25" style="1" customWidth="1"/>
    <col min="7427" max="7427" width="38.875" style="1" customWidth="1"/>
    <col min="7428" max="7428" width="16.75" style="1" customWidth="1"/>
    <col min="7429" max="7676" width="9" style="1"/>
    <col min="7677" max="7677" width="1.625" style="1" customWidth="1"/>
    <col min="7678" max="7678" width="35" style="1" customWidth="1"/>
    <col min="7679" max="7682" width="13.25" style="1" customWidth="1"/>
    <col min="7683" max="7683" width="38.875" style="1" customWidth="1"/>
    <col min="7684" max="7684" width="16.75" style="1" customWidth="1"/>
    <col min="7685" max="7932" width="9" style="1"/>
    <col min="7933" max="7933" width="1.625" style="1" customWidth="1"/>
    <col min="7934" max="7934" width="35" style="1" customWidth="1"/>
    <col min="7935" max="7938" width="13.25" style="1" customWidth="1"/>
    <col min="7939" max="7939" width="38.875" style="1" customWidth="1"/>
    <col min="7940" max="7940" width="16.75" style="1" customWidth="1"/>
    <col min="7941" max="8188" width="9" style="1"/>
    <col min="8189" max="8189" width="1.625" style="1" customWidth="1"/>
    <col min="8190" max="8190" width="35" style="1" customWidth="1"/>
    <col min="8191" max="8194" width="13.25" style="1" customWidth="1"/>
    <col min="8195" max="8195" width="38.875" style="1" customWidth="1"/>
    <col min="8196" max="8196" width="16.75" style="1" customWidth="1"/>
    <col min="8197" max="8444" width="9" style="1"/>
    <col min="8445" max="8445" width="1.625" style="1" customWidth="1"/>
    <col min="8446" max="8446" width="35" style="1" customWidth="1"/>
    <col min="8447" max="8450" width="13.25" style="1" customWidth="1"/>
    <col min="8451" max="8451" width="38.875" style="1" customWidth="1"/>
    <col min="8452" max="8452" width="16.75" style="1" customWidth="1"/>
    <col min="8453" max="8700" width="9" style="1"/>
    <col min="8701" max="8701" width="1.625" style="1" customWidth="1"/>
    <col min="8702" max="8702" width="35" style="1" customWidth="1"/>
    <col min="8703" max="8706" width="13.25" style="1" customWidth="1"/>
    <col min="8707" max="8707" width="38.875" style="1" customWidth="1"/>
    <col min="8708" max="8708" width="16.75" style="1" customWidth="1"/>
    <col min="8709" max="8956" width="9" style="1"/>
    <col min="8957" max="8957" width="1.625" style="1" customWidth="1"/>
    <col min="8958" max="8958" width="35" style="1" customWidth="1"/>
    <col min="8959" max="8962" width="13.25" style="1" customWidth="1"/>
    <col min="8963" max="8963" width="38.875" style="1" customWidth="1"/>
    <col min="8964" max="8964" width="16.75" style="1" customWidth="1"/>
    <col min="8965" max="9212" width="9" style="1"/>
    <col min="9213" max="9213" width="1.625" style="1" customWidth="1"/>
    <col min="9214" max="9214" width="35" style="1" customWidth="1"/>
    <col min="9215" max="9218" width="13.25" style="1" customWidth="1"/>
    <col min="9219" max="9219" width="38.875" style="1" customWidth="1"/>
    <col min="9220" max="9220" width="16.75" style="1" customWidth="1"/>
    <col min="9221" max="9468" width="9" style="1"/>
    <col min="9469" max="9469" width="1.625" style="1" customWidth="1"/>
    <col min="9470" max="9470" width="35" style="1" customWidth="1"/>
    <col min="9471" max="9474" width="13.25" style="1" customWidth="1"/>
    <col min="9475" max="9475" width="38.875" style="1" customWidth="1"/>
    <col min="9476" max="9476" width="16.75" style="1" customWidth="1"/>
    <col min="9477" max="9724" width="9" style="1"/>
    <col min="9725" max="9725" width="1.625" style="1" customWidth="1"/>
    <col min="9726" max="9726" width="35" style="1" customWidth="1"/>
    <col min="9727" max="9730" width="13.25" style="1" customWidth="1"/>
    <col min="9731" max="9731" width="38.875" style="1" customWidth="1"/>
    <col min="9732" max="9732" width="16.75" style="1" customWidth="1"/>
    <col min="9733" max="9980" width="9" style="1"/>
    <col min="9981" max="9981" width="1.625" style="1" customWidth="1"/>
    <col min="9982" max="9982" width="35" style="1" customWidth="1"/>
    <col min="9983" max="9986" width="13.25" style="1" customWidth="1"/>
    <col min="9987" max="9987" width="38.875" style="1" customWidth="1"/>
    <col min="9988" max="9988" width="16.75" style="1" customWidth="1"/>
    <col min="9989" max="10236" width="9" style="1"/>
    <col min="10237" max="10237" width="1.625" style="1" customWidth="1"/>
    <col min="10238" max="10238" width="35" style="1" customWidth="1"/>
    <col min="10239" max="10242" width="13.25" style="1" customWidth="1"/>
    <col min="10243" max="10243" width="38.875" style="1" customWidth="1"/>
    <col min="10244" max="10244" width="16.75" style="1" customWidth="1"/>
    <col min="10245" max="10492" width="9" style="1"/>
    <col min="10493" max="10493" width="1.625" style="1" customWidth="1"/>
    <col min="10494" max="10494" width="35" style="1" customWidth="1"/>
    <col min="10495" max="10498" width="13.25" style="1" customWidth="1"/>
    <col min="10499" max="10499" width="38.875" style="1" customWidth="1"/>
    <col min="10500" max="10500" width="16.75" style="1" customWidth="1"/>
    <col min="10501" max="10748" width="9" style="1"/>
    <col min="10749" max="10749" width="1.625" style="1" customWidth="1"/>
    <col min="10750" max="10750" width="35" style="1" customWidth="1"/>
    <col min="10751" max="10754" width="13.25" style="1" customWidth="1"/>
    <col min="10755" max="10755" width="38.875" style="1" customWidth="1"/>
    <col min="10756" max="10756" width="16.75" style="1" customWidth="1"/>
    <col min="10757" max="11004" width="9" style="1"/>
    <col min="11005" max="11005" width="1.625" style="1" customWidth="1"/>
    <col min="11006" max="11006" width="35" style="1" customWidth="1"/>
    <col min="11007" max="11010" width="13.25" style="1" customWidth="1"/>
    <col min="11011" max="11011" width="38.875" style="1" customWidth="1"/>
    <col min="11012" max="11012" width="16.75" style="1" customWidth="1"/>
    <col min="11013" max="11260" width="9" style="1"/>
    <col min="11261" max="11261" width="1.625" style="1" customWidth="1"/>
    <col min="11262" max="11262" width="35" style="1" customWidth="1"/>
    <col min="11263" max="11266" width="13.25" style="1" customWidth="1"/>
    <col min="11267" max="11267" width="38.875" style="1" customWidth="1"/>
    <col min="11268" max="11268" width="16.75" style="1" customWidth="1"/>
    <col min="11269" max="11516" width="9" style="1"/>
    <col min="11517" max="11517" width="1.625" style="1" customWidth="1"/>
    <col min="11518" max="11518" width="35" style="1" customWidth="1"/>
    <col min="11519" max="11522" width="13.25" style="1" customWidth="1"/>
    <col min="11523" max="11523" width="38.875" style="1" customWidth="1"/>
    <col min="11524" max="11524" width="16.75" style="1" customWidth="1"/>
    <col min="11525" max="11772" width="9" style="1"/>
    <col min="11773" max="11773" width="1.625" style="1" customWidth="1"/>
    <col min="11774" max="11774" width="35" style="1" customWidth="1"/>
    <col min="11775" max="11778" width="13.25" style="1" customWidth="1"/>
    <col min="11779" max="11779" width="38.875" style="1" customWidth="1"/>
    <col min="11780" max="11780" width="16.75" style="1" customWidth="1"/>
    <col min="11781" max="12028" width="9" style="1"/>
    <col min="12029" max="12029" width="1.625" style="1" customWidth="1"/>
    <col min="12030" max="12030" width="35" style="1" customWidth="1"/>
    <col min="12031" max="12034" width="13.25" style="1" customWidth="1"/>
    <col min="12035" max="12035" width="38.875" style="1" customWidth="1"/>
    <col min="12036" max="12036" width="16.75" style="1" customWidth="1"/>
    <col min="12037" max="12284" width="9" style="1"/>
    <col min="12285" max="12285" width="1.625" style="1" customWidth="1"/>
    <col min="12286" max="12286" width="35" style="1" customWidth="1"/>
    <col min="12287" max="12290" width="13.25" style="1" customWidth="1"/>
    <col min="12291" max="12291" width="38.875" style="1" customWidth="1"/>
    <col min="12292" max="12292" width="16.75" style="1" customWidth="1"/>
    <col min="12293" max="12540" width="9" style="1"/>
    <col min="12541" max="12541" width="1.625" style="1" customWidth="1"/>
    <col min="12542" max="12542" width="35" style="1" customWidth="1"/>
    <col min="12543" max="12546" width="13.25" style="1" customWidth="1"/>
    <col min="12547" max="12547" width="38.875" style="1" customWidth="1"/>
    <col min="12548" max="12548" width="16.75" style="1" customWidth="1"/>
    <col min="12549" max="12796" width="9" style="1"/>
    <col min="12797" max="12797" width="1.625" style="1" customWidth="1"/>
    <col min="12798" max="12798" width="35" style="1" customWidth="1"/>
    <col min="12799" max="12802" width="13.25" style="1" customWidth="1"/>
    <col min="12803" max="12803" width="38.875" style="1" customWidth="1"/>
    <col min="12804" max="12804" width="16.75" style="1" customWidth="1"/>
    <col min="12805" max="13052" width="9" style="1"/>
    <col min="13053" max="13053" width="1.625" style="1" customWidth="1"/>
    <col min="13054" max="13054" width="35" style="1" customWidth="1"/>
    <col min="13055" max="13058" width="13.25" style="1" customWidth="1"/>
    <col min="13059" max="13059" width="38.875" style="1" customWidth="1"/>
    <col min="13060" max="13060" width="16.75" style="1" customWidth="1"/>
    <col min="13061" max="13308" width="9" style="1"/>
    <col min="13309" max="13309" width="1.625" style="1" customWidth="1"/>
    <col min="13310" max="13310" width="35" style="1" customWidth="1"/>
    <col min="13311" max="13314" width="13.25" style="1" customWidth="1"/>
    <col min="13315" max="13315" width="38.875" style="1" customWidth="1"/>
    <col min="13316" max="13316" width="16.75" style="1" customWidth="1"/>
    <col min="13317" max="13564" width="9" style="1"/>
    <col min="13565" max="13565" width="1.625" style="1" customWidth="1"/>
    <col min="13566" max="13566" width="35" style="1" customWidth="1"/>
    <col min="13567" max="13570" width="13.25" style="1" customWidth="1"/>
    <col min="13571" max="13571" width="38.875" style="1" customWidth="1"/>
    <col min="13572" max="13572" width="16.75" style="1" customWidth="1"/>
    <col min="13573" max="13820" width="9" style="1"/>
    <col min="13821" max="13821" width="1.625" style="1" customWidth="1"/>
    <col min="13822" max="13822" width="35" style="1" customWidth="1"/>
    <col min="13823" max="13826" width="13.25" style="1" customWidth="1"/>
    <col min="13827" max="13827" width="38.875" style="1" customWidth="1"/>
    <col min="13828" max="13828" width="16.75" style="1" customWidth="1"/>
    <col min="13829" max="14076" width="9" style="1"/>
    <col min="14077" max="14077" width="1.625" style="1" customWidth="1"/>
    <col min="14078" max="14078" width="35" style="1" customWidth="1"/>
    <col min="14079" max="14082" width="13.25" style="1" customWidth="1"/>
    <col min="14083" max="14083" width="38.875" style="1" customWidth="1"/>
    <col min="14084" max="14084" width="16.75" style="1" customWidth="1"/>
    <col min="14085" max="14332" width="9" style="1"/>
    <col min="14333" max="14333" width="1.625" style="1" customWidth="1"/>
    <col min="14334" max="14334" width="35" style="1" customWidth="1"/>
    <col min="14335" max="14338" width="13.25" style="1" customWidth="1"/>
    <col min="14339" max="14339" width="38.875" style="1" customWidth="1"/>
    <col min="14340" max="14340" width="16.75" style="1" customWidth="1"/>
    <col min="14341" max="14588" width="9" style="1"/>
    <col min="14589" max="14589" width="1.625" style="1" customWidth="1"/>
    <col min="14590" max="14590" width="35" style="1" customWidth="1"/>
    <col min="14591" max="14594" width="13.25" style="1" customWidth="1"/>
    <col min="14595" max="14595" width="38.875" style="1" customWidth="1"/>
    <col min="14596" max="14596" width="16.75" style="1" customWidth="1"/>
    <col min="14597" max="14844" width="9" style="1"/>
    <col min="14845" max="14845" width="1.625" style="1" customWidth="1"/>
    <col min="14846" max="14846" width="35" style="1" customWidth="1"/>
    <col min="14847" max="14850" width="13.25" style="1" customWidth="1"/>
    <col min="14851" max="14851" width="38.875" style="1" customWidth="1"/>
    <col min="14852" max="14852" width="16.75" style="1" customWidth="1"/>
    <col min="14853" max="15100" width="9" style="1"/>
    <col min="15101" max="15101" width="1.625" style="1" customWidth="1"/>
    <col min="15102" max="15102" width="35" style="1" customWidth="1"/>
    <col min="15103" max="15106" width="13.25" style="1" customWidth="1"/>
    <col min="15107" max="15107" width="38.875" style="1" customWidth="1"/>
    <col min="15108" max="15108" width="16.75" style="1" customWidth="1"/>
    <col min="15109" max="15356" width="9" style="1"/>
    <col min="15357" max="15357" width="1.625" style="1" customWidth="1"/>
    <col min="15358" max="15358" width="35" style="1" customWidth="1"/>
    <col min="15359" max="15362" width="13.25" style="1" customWidth="1"/>
    <col min="15363" max="15363" width="38.875" style="1" customWidth="1"/>
    <col min="15364" max="15364" width="16.75" style="1" customWidth="1"/>
    <col min="15365" max="15612" width="9" style="1"/>
    <col min="15613" max="15613" width="1.625" style="1" customWidth="1"/>
    <col min="15614" max="15614" width="35" style="1" customWidth="1"/>
    <col min="15615" max="15618" width="13.25" style="1" customWidth="1"/>
    <col min="15619" max="15619" width="38.875" style="1" customWidth="1"/>
    <col min="15620" max="15620" width="16.75" style="1" customWidth="1"/>
    <col min="15621" max="15868" width="9" style="1"/>
    <col min="15869" max="15869" width="1.625" style="1" customWidth="1"/>
    <col min="15870" max="15870" width="35" style="1" customWidth="1"/>
    <col min="15871" max="15874" width="13.25" style="1" customWidth="1"/>
    <col min="15875" max="15875" width="38.875" style="1" customWidth="1"/>
    <col min="15876" max="15876" width="16.75" style="1" customWidth="1"/>
    <col min="15877" max="16124" width="9" style="1"/>
    <col min="16125" max="16125" width="1.625" style="1" customWidth="1"/>
    <col min="16126" max="16126" width="35" style="1" customWidth="1"/>
    <col min="16127" max="16130" width="13.25" style="1" customWidth="1"/>
    <col min="16131" max="16131" width="38.875" style="1" customWidth="1"/>
    <col min="16132" max="16132" width="16.75" style="1" customWidth="1"/>
    <col min="16133" max="16384" width="9" style="1"/>
  </cols>
  <sheetData>
    <row r="2" spans="2:11" ht="23.25" customHeight="1">
      <c r="B2" s="356" t="s">
        <v>63</v>
      </c>
      <c r="C2" s="356"/>
      <c r="D2" s="356"/>
      <c r="E2" s="356"/>
      <c r="F2" s="356"/>
      <c r="G2" s="356"/>
      <c r="H2" s="356"/>
      <c r="I2" s="356"/>
      <c r="J2" s="356"/>
      <c r="K2" s="356"/>
    </row>
    <row r="3" spans="2:11">
      <c r="B3" s="5" t="s">
        <v>78</v>
      </c>
    </row>
    <row r="4" spans="2:11">
      <c r="B4" s="5" t="s">
        <v>79</v>
      </c>
    </row>
    <row r="5" spans="2:11">
      <c r="B5" s="5"/>
      <c r="G5" s="80"/>
      <c r="K5" s="1" t="s">
        <v>13</v>
      </c>
    </row>
    <row r="6" spans="2:11">
      <c r="B6" s="357" t="s">
        <v>12</v>
      </c>
      <c r="C6" s="353" t="s">
        <v>6</v>
      </c>
      <c r="D6" s="354"/>
      <c r="E6" s="355"/>
      <c r="F6" s="353" t="s">
        <v>7</v>
      </c>
      <c r="G6" s="354"/>
      <c r="H6" s="355"/>
      <c r="I6" s="97" t="s">
        <v>27</v>
      </c>
      <c r="J6" s="102" t="s">
        <v>27</v>
      </c>
      <c r="K6" s="359" t="s">
        <v>11</v>
      </c>
    </row>
    <row r="7" spans="2:11">
      <c r="B7" s="358"/>
      <c r="C7" s="12" t="s">
        <v>9</v>
      </c>
      <c r="D7" s="19" t="s">
        <v>8</v>
      </c>
      <c r="E7" s="12" t="s">
        <v>10</v>
      </c>
      <c r="F7" s="12" t="s">
        <v>9</v>
      </c>
      <c r="G7" s="19" t="s">
        <v>8</v>
      </c>
      <c r="H7" s="12" t="s">
        <v>10</v>
      </c>
      <c r="I7" s="98"/>
      <c r="J7" s="103" t="s">
        <v>28</v>
      </c>
      <c r="K7" s="360"/>
    </row>
    <row r="8" spans="2:11" ht="19.5" thickBot="1">
      <c r="B8" s="6" t="s">
        <v>0</v>
      </c>
      <c r="C8" s="13"/>
      <c r="D8" s="24"/>
      <c r="E8" s="14">
        <f>+E9+E10+E11+E12+E18</f>
        <v>858.32039999999995</v>
      </c>
      <c r="F8" s="13"/>
      <c r="G8" s="20"/>
      <c r="H8" s="14">
        <f>+H9+H10+H11+H12+H18</f>
        <v>1618.1409200000001</v>
      </c>
      <c r="I8" s="99"/>
      <c r="J8" s="104"/>
      <c r="K8" s="3"/>
    </row>
    <row r="9" spans="2:11" ht="19.5" thickTop="1">
      <c r="B9" s="196" t="s">
        <v>29</v>
      </c>
      <c r="C9" s="197" t="s">
        <v>80</v>
      </c>
      <c r="D9" s="198" t="s">
        <v>1031</v>
      </c>
      <c r="E9" s="199">
        <v>0</v>
      </c>
      <c r="F9" s="199" t="s">
        <v>1031</v>
      </c>
      <c r="G9" s="199" t="s">
        <v>1031</v>
      </c>
      <c r="H9" s="199">
        <v>0</v>
      </c>
      <c r="I9" s="199">
        <f>+H9-E9</f>
        <v>0</v>
      </c>
      <c r="J9" s="199" t="s">
        <v>1031</v>
      </c>
      <c r="K9" s="201"/>
    </row>
    <row r="10" spans="2:11">
      <c r="B10" s="120" t="s">
        <v>30</v>
      </c>
      <c r="C10" s="121"/>
      <c r="D10" s="122"/>
      <c r="E10" s="121">
        <f>+E31+E129+E191+E358+E430+E502</f>
        <v>177.97330000000002</v>
      </c>
      <c r="F10" s="121"/>
      <c r="G10" s="122"/>
      <c r="H10" s="121">
        <f>+H31+H129+H191+H358+H430+H502</f>
        <v>238.07092000000003</v>
      </c>
      <c r="I10" s="123">
        <f t="shared" ref="I10:I23" si="0">+H10-E10</f>
        <v>60.097620000000006</v>
      </c>
      <c r="J10" s="124">
        <f t="shared" ref="J10:J23" si="1">+I10*100/H10</f>
        <v>25.24357867815187</v>
      </c>
      <c r="K10" s="125"/>
    </row>
    <row r="11" spans="2:11">
      <c r="B11" s="126" t="s">
        <v>31</v>
      </c>
      <c r="C11" s="127"/>
      <c r="D11" s="128"/>
      <c r="E11" s="127">
        <f>+E94+E156+E315+E391+E466+E537</f>
        <v>0</v>
      </c>
      <c r="F11" s="127"/>
      <c r="G11" s="128"/>
      <c r="H11" s="127">
        <f>+H94+H156+H315+H391+H466+H537</f>
        <v>0</v>
      </c>
      <c r="I11" s="129">
        <f t="shared" si="0"/>
        <v>0</v>
      </c>
      <c r="J11" s="130">
        <v>0</v>
      </c>
      <c r="K11" s="131"/>
    </row>
    <row r="12" spans="2:11">
      <c r="B12" s="132" t="s">
        <v>32</v>
      </c>
      <c r="C12" s="133"/>
      <c r="D12" s="134"/>
      <c r="E12" s="133">
        <f>+E16</f>
        <v>673.45709999999997</v>
      </c>
      <c r="F12" s="133"/>
      <c r="G12" s="134"/>
      <c r="H12" s="133">
        <f>+H16</f>
        <v>1308.07</v>
      </c>
      <c r="I12" s="135">
        <f t="shared" si="0"/>
        <v>634.61289999999997</v>
      </c>
      <c r="J12" s="136">
        <f t="shared" si="1"/>
        <v>48.51520943068796</v>
      </c>
      <c r="K12" s="137"/>
    </row>
    <row r="13" spans="2:11">
      <c r="B13" s="138" t="s">
        <v>72</v>
      </c>
      <c r="C13" s="139"/>
      <c r="D13" s="140"/>
      <c r="E13" s="139"/>
      <c r="F13" s="139"/>
      <c r="G13" s="140"/>
      <c r="H13" s="139"/>
      <c r="I13" s="141"/>
      <c r="J13" s="142"/>
      <c r="K13" s="143"/>
    </row>
    <row r="14" spans="2:11">
      <c r="B14" s="138" t="s">
        <v>33</v>
      </c>
      <c r="C14" s="139"/>
      <c r="D14" s="140"/>
      <c r="E14" s="139"/>
      <c r="F14" s="139"/>
      <c r="G14" s="140"/>
      <c r="H14" s="139"/>
      <c r="I14" s="141"/>
      <c r="J14" s="142"/>
      <c r="K14" s="143" t="s">
        <v>171</v>
      </c>
    </row>
    <row r="15" spans="2:11">
      <c r="B15" s="138" t="s">
        <v>34</v>
      </c>
      <c r="C15" s="139"/>
      <c r="D15" s="140"/>
      <c r="E15" s="139"/>
      <c r="F15" s="139"/>
      <c r="G15" s="140"/>
      <c r="H15" s="139"/>
      <c r="I15" s="141"/>
      <c r="J15" s="142"/>
      <c r="K15" s="143"/>
    </row>
    <row r="16" spans="2:11">
      <c r="B16" s="138" t="s">
        <v>35</v>
      </c>
      <c r="C16" s="139"/>
      <c r="D16" s="140"/>
      <c r="E16" s="139">
        <f>+E117+E179+E338+E414+E489+E560</f>
        <v>673.45709999999997</v>
      </c>
      <c r="F16" s="139"/>
      <c r="G16" s="140"/>
      <c r="H16" s="139">
        <f>+H117+H179+H338+H414+H489+H560</f>
        <v>1308.07</v>
      </c>
      <c r="I16" s="141">
        <f t="shared" si="0"/>
        <v>634.61289999999997</v>
      </c>
      <c r="J16" s="142">
        <f t="shared" si="1"/>
        <v>48.51520943068796</v>
      </c>
      <c r="K16" s="143"/>
    </row>
    <row r="17" spans="1:19">
      <c r="B17" s="138" t="s">
        <v>36</v>
      </c>
      <c r="C17" s="139"/>
      <c r="D17" s="140"/>
      <c r="E17" s="139"/>
      <c r="F17" s="139"/>
      <c r="G17" s="140"/>
      <c r="H17" s="139"/>
      <c r="I17" s="141"/>
      <c r="J17" s="142"/>
      <c r="K17" s="143"/>
    </row>
    <row r="18" spans="1:19">
      <c r="B18" s="144" t="s">
        <v>37</v>
      </c>
      <c r="C18" s="145"/>
      <c r="D18" s="146"/>
      <c r="E18" s="145">
        <f>+E23</f>
        <v>6.8900000000000006</v>
      </c>
      <c r="F18" s="145"/>
      <c r="G18" s="146"/>
      <c r="H18" s="145">
        <f>+H23</f>
        <v>72</v>
      </c>
      <c r="I18" s="147">
        <f t="shared" si="0"/>
        <v>65.11</v>
      </c>
      <c r="J18" s="148">
        <f t="shared" si="1"/>
        <v>90.430555555555557</v>
      </c>
      <c r="K18" s="149"/>
    </row>
    <row r="19" spans="1:19" s="106" customFormat="1">
      <c r="B19" s="138" t="s">
        <v>72</v>
      </c>
      <c r="C19" s="139"/>
      <c r="D19" s="140"/>
      <c r="E19" s="139"/>
      <c r="F19" s="139"/>
      <c r="G19" s="140"/>
      <c r="H19" s="139"/>
      <c r="I19" s="141"/>
      <c r="J19" s="142"/>
      <c r="K19" s="143"/>
      <c r="L19" s="105"/>
      <c r="M19" s="105"/>
    </row>
    <row r="20" spans="1:19" s="106" customFormat="1">
      <c r="B20" s="138" t="s">
        <v>33</v>
      </c>
      <c r="C20" s="139"/>
      <c r="D20" s="140"/>
      <c r="E20" s="139"/>
      <c r="F20" s="139"/>
      <c r="G20" s="140"/>
      <c r="H20" s="139"/>
      <c r="I20" s="141"/>
      <c r="J20" s="142"/>
      <c r="K20" s="143"/>
      <c r="L20" s="105"/>
      <c r="M20" s="105"/>
    </row>
    <row r="21" spans="1:19" s="106" customFormat="1">
      <c r="B21" s="138" t="s">
        <v>34</v>
      </c>
      <c r="C21" s="139"/>
      <c r="D21" s="140"/>
      <c r="E21" s="139"/>
      <c r="F21" s="139"/>
      <c r="G21" s="140"/>
      <c r="H21" s="139"/>
      <c r="I21" s="141"/>
      <c r="J21" s="142"/>
      <c r="K21" s="143"/>
      <c r="L21" s="105"/>
      <c r="M21" s="105"/>
    </row>
    <row r="22" spans="1:19" s="106" customFormat="1">
      <c r="B22" s="138" t="s">
        <v>35</v>
      </c>
      <c r="C22" s="139"/>
      <c r="D22" s="140"/>
      <c r="E22" s="139"/>
      <c r="F22" s="139"/>
      <c r="G22" s="140"/>
      <c r="H22" s="139"/>
      <c r="I22" s="141"/>
      <c r="J22" s="142"/>
      <c r="K22" s="143"/>
      <c r="L22" s="105"/>
      <c r="M22" s="105"/>
    </row>
    <row r="23" spans="1:19" s="106" customFormat="1">
      <c r="B23" s="138" t="s">
        <v>36</v>
      </c>
      <c r="C23" s="139"/>
      <c r="D23" s="140"/>
      <c r="E23" s="139">
        <f>+E120+E182+E347+E420+E493+E564</f>
        <v>6.8900000000000006</v>
      </c>
      <c r="F23" s="139"/>
      <c r="G23" s="140"/>
      <c r="H23" s="139">
        <f>+H120+H182+H347+H420+H493+H564</f>
        <v>72</v>
      </c>
      <c r="I23" s="141">
        <f t="shared" si="0"/>
        <v>65.11</v>
      </c>
      <c r="J23" s="142">
        <f t="shared" si="1"/>
        <v>90.430555555555557</v>
      </c>
      <c r="K23" s="143"/>
      <c r="L23" s="105"/>
      <c r="M23" s="105"/>
    </row>
    <row r="24" spans="1:19" s="62" customFormat="1">
      <c r="A24" s="1"/>
      <c r="B24" s="150" t="s">
        <v>67</v>
      </c>
      <c r="C24" s="151"/>
      <c r="D24" s="152"/>
      <c r="E24" s="151">
        <f>+E25+E123+E185+E424</f>
        <v>858.32040000000006</v>
      </c>
      <c r="F24" s="151"/>
      <c r="G24" s="152"/>
      <c r="H24" s="151">
        <f>+H25+H123+H185+H424+H496</f>
        <v>1618.1409199999998</v>
      </c>
      <c r="I24" s="153">
        <f t="shared" ref="I24:I37" si="2">+H24-E24</f>
        <v>759.82051999999976</v>
      </c>
      <c r="J24" s="154">
        <f t="shared" ref="J24:J37" si="3">+I24*100/H24</f>
        <v>46.956387457280293</v>
      </c>
      <c r="K24" s="155"/>
      <c r="N24" s="1"/>
      <c r="O24" s="1"/>
      <c r="P24" s="1"/>
      <c r="Q24" s="1"/>
      <c r="R24" s="1"/>
      <c r="S24" s="1"/>
    </row>
    <row r="25" spans="1:19" s="62" customFormat="1" ht="37.5">
      <c r="A25" s="1"/>
      <c r="B25" s="156" t="s">
        <v>159</v>
      </c>
      <c r="C25" s="157"/>
      <c r="D25" s="158"/>
      <c r="E25" s="157">
        <f>+E26</f>
        <v>6.4631000000000007</v>
      </c>
      <c r="F25" s="157"/>
      <c r="G25" s="158"/>
      <c r="H25" s="157">
        <f>+H26</f>
        <v>10.1</v>
      </c>
      <c r="I25" s="159">
        <f t="shared" si="2"/>
        <v>3.6368999999999989</v>
      </c>
      <c r="J25" s="160">
        <f t="shared" si="3"/>
        <v>36.008910891089101</v>
      </c>
      <c r="K25" s="161"/>
      <c r="N25" s="1"/>
      <c r="O25" s="1"/>
      <c r="P25" s="1"/>
      <c r="Q25" s="1"/>
      <c r="R25" s="1"/>
      <c r="S25" s="1"/>
    </row>
    <row r="26" spans="1:19" s="62" customFormat="1" ht="37.5">
      <c r="A26" s="1"/>
      <c r="B26" s="263" t="s">
        <v>155</v>
      </c>
      <c r="C26" s="255"/>
      <c r="D26" s="264"/>
      <c r="E26" s="255">
        <f>+E27</f>
        <v>6.4631000000000007</v>
      </c>
      <c r="F26" s="255"/>
      <c r="G26" s="264"/>
      <c r="H26" s="255">
        <f>+H27</f>
        <v>10.1</v>
      </c>
      <c r="I26" s="141">
        <f t="shared" si="2"/>
        <v>3.6368999999999989</v>
      </c>
      <c r="J26" s="142">
        <f t="shared" si="3"/>
        <v>36.008910891089101</v>
      </c>
      <c r="K26" s="265"/>
      <c r="N26" s="1"/>
      <c r="O26" s="1"/>
      <c r="P26" s="1"/>
      <c r="Q26" s="1"/>
      <c r="R26" s="1"/>
      <c r="S26" s="1"/>
    </row>
    <row r="27" spans="1:19" s="62" customFormat="1" ht="37.5">
      <c r="A27" s="1"/>
      <c r="B27" s="202" t="s">
        <v>156</v>
      </c>
      <c r="C27" s="172"/>
      <c r="D27" s="173"/>
      <c r="E27" s="139">
        <f>+E31+E94+E117+E120</f>
        <v>6.4631000000000007</v>
      </c>
      <c r="F27" s="172"/>
      <c r="G27" s="173"/>
      <c r="H27" s="139">
        <f>+H31+H94+H117+H120</f>
        <v>10.1</v>
      </c>
      <c r="I27" s="141">
        <f t="shared" si="2"/>
        <v>3.6368999999999989</v>
      </c>
      <c r="J27" s="142">
        <f t="shared" si="3"/>
        <v>36.008910891089101</v>
      </c>
      <c r="K27" s="170"/>
      <c r="N27" s="1"/>
      <c r="O27" s="1"/>
      <c r="P27" s="1"/>
      <c r="Q27" s="1"/>
      <c r="R27" s="1"/>
      <c r="S27" s="1"/>
    </row>
    <row r="28" spans="1:19" s="62" customFormat="1">
      <c r="A28" s="1"/>
      <c r="B28" s="266" t="s">
        <v>24</v>
      </c>
      <c r="C28" s="168"/>
      <c r="D28" s="169"/>
      <c r="E28" s="172"/>
      <c r="F28" s="139"/>
      <c r="G28" s="140"/>
      <c r="H28" s="172"/>
      <c r="I28" s="141"/>
      <c r="J28" s="142"/>
      <c r="K28" s="170"/>
      <c r="N28" s="1"/>
      <c r="O28" s="1"/>
      <c r="P28" s="1"/>
      <c r="Q28" s="1"/>
      <c r="R28" s="1"/>
      <c r="S28" s="1"/>
    </row>
    <row r="29" spans="1:19" s="62" customFormat="1" ht="32.25">
      <c r="A29" s="1"/>
      <c r="B29" s="231" t="s">
        <v>68</v>
      </c>
      <c r="C29" s="267" t="s">
        <v>25</v>
      </c>
      <c r="D29" s="268"/>
      <c r="E29" s="267" t="s">
        <v>58</v>
      </c>
      <c r="F29" s="267"/>
      <c r="G29" s="268" t="s">
        <v>26</v>
      </c>
      <c r="H29" s="267"/>
      <c r="I29" s="141"/>
      <c r="J29" s="142"/>
      <c r="K29" s="269"/>
      <c r="N29" s="1"/>
      <c r="O29" s="1"/>
      <c r="P29" s="1"/>
      <c r="Q29" s="1"/>
      <c r="R29" s="1"/>
      <c r="S29" s="1"/>
    </row>
    <row r="30" spans="1:19" s="62" customFormat="1" ht="32.25">
      <c r="A30" s="1"/>
      <c r="B30" s="231"/>
      <c r="C30" s="267" t="s">
        <v>60</v>
      </c>
      <c r="D30" s="268"/>
      <c r="E30" s="267" t="s">
        <v>62</v>
      </c>
      <c r="F30" s="267"/>
      <c r="G30" s="268" t="s">
        <v>61</v>
      </c>
      <c r="H30" s="267"/>
      <c r="I30" s="141"/>
      <c r="J30" s="142"/>
      <c r="K30" s="269"/>
      <c r="N30" s="1"/>
      <c r="O30" s="1"/>
      <c r="P30" s="1"/>
      <c r="Q30" s="1"/>
      <c r="R30" s="1"/>
      <c r="S30" s="1"/>
    </row>
    <row r="31" spans="1:19" s="62" customFormat="1">
      <c r="A31" s="1"/>
      <c r="B31" s="177" t="s">
        <v>38</v>
      </c>
      <c r="C31" s="121"/>
      <c r="D31" s="122"/>
      <c r="E31" s="121">
        <f>+E32+E88</f>
        <v>6.4631000000000007</v>
      </c>
      <c r="F31" s="121"/>
      <c r="G31" s="122"/>
      <c r="H31" s="121">
        <f>+H32+H88</f>
        <v>10.1</v>
      </c>
      <c r="I31" s="123">
        <f t="shared" si="2"/>
        <v>3.6368999999999989</v>
      </c>
      <c r="J31" s="124">
        <f t="shared" si="3"/>
        <v>36.008910891089101</v>
      </c>
      <c r="K31" s="125"/>
      <c r="N31" s="1"/>
      <c r="O31" s="1"/>
      <c r="P31" s="1"/>
      <c r="Q31" s="1"/>
      <c r="R31" s="1"/>
      <c r="S31" s="1"/>
    </row>
    <row r="32" spans="1:19" s="62" customFormat="1">
      <c r="A32" s="1"/>
      <c r="B32" s="179" t="s">
        <v>41</v>
      </c>
      <c r="C32" s="180"/>
      <c r="D32" s="181"/>
      <c r="E32" s="180">
        <f>+E33+E35+E86</f>
        <v>6.4631000000000007</v>
      </c>
      <c r="F32" s="180"/>
      <c r="G32" s="181"/>
      <c r="H32" s="180">
        <f>+H33+H35+H86</f>
        <v>10.1</v>
      </c>
      <c r="I32" s="182">
        <f t="shared" si="2"/>
        <v>3.6368999999999989</v>
      </c>
      <c r="J32" s="183">
        <f t="shared" si="3"/>
        <v>36.008910891089101</v>
      </c>
      <c r="K32" s="184"/>
      <c r="N32" s="1"/>
      <c r="O32" s="1"/>
      <c r="P32" s="1"/>
      <c r="Q32" s="1"/>
      <c r="R32" s="1"/>
      <c r="S32" s="1"/>
    </row>
    <row r="33" spans="1:19" s="62" customFormat="1">
      <c r="A33" s="1"/>
      <c r="B33" s="216" t="s">
        <v>42</v>
      </c>
      <c r="C33" s="133"/>
      <c r="D33" s="134"/>
      <c r="E33" s="133">
        <f>SUM(E34:E34)</f>
        <v>0.23200000000000001</v>
      </c>
      <c r="F33" s="133"/>
      <c r="G33" s="134"/>
      <c r="H33" s="133">
        <f>SUM(H34:H34)</f>
        <v>7.0000000000000001E-3</v>
      </c>
      <c r="I33" s="135">
        <f t="shared" si="2"/>
        <v>-0.22500000000000001</v>
      </c>
      <c r="J33" s="136">
        <f t="shared" si="3"/>
        <v>-3214.2857142857142</v>
      </c>
      <c r="K33" s="137"/>
      <c r="N33" s="1"/>
      <c r="O33" s="1"/>
      <c r="P33" s="1"/>
      <c r="Q33" s="1"/>
      <c r="R33" s="1"/>
      <c r="S33" s="1"/>
    </row>
    <row r="34" spans="1:19" s="62" customFormat="1" ht="93.75">
      <c r="A34" s="1"/>
      <c r="B34" s="171" t="s">
        <v>112</v>
      </c>
      <c r="C34" s="168"/>
      <c r="D34" s="140"/>
      <c r="E34" s="168">
        <v>0.23200000000000001</v>
      </c>
      <c r="F34" s="168"/>
      <c r="G34" s="169"/>
      <c r="H34" s="168">
        <v>7.0000000000000001E-3</v>
      </c>
      <c r="I34" s="141">
        <f t="shared" si="2"/>
        <v>-0.22500000000000001</v>
      </c>
      <c r="J34" s="142">
        <f t="shared" si="3"/>
        <v>-3214.2857142857142</v>
      </c>
      <c r="K34" s="167" t="s">
        <v>733</v>
      </c>
      <c r="N34" s="1"/>
      <c r="O34" s="1"/>
      <c r="P34" s="1"/>
      <c r="Q34" s="1"/>
      <c r="R34" s="1"/>
      <c r="S34" s="1"/>
    </row>
    <row r="35" spans="1:19" s="62" customFormat="1">
      <c r="A35" s="1"/>
      <c r="B35" s="216" t="s">
        <v>43</v>
      </c>
      <c r="C35" s="133"/>
      <c r="D35" s="134"/>
      <c r="E35" s="133">
        <f>SUM(E37:E78)</f>
        <v>6.2131000000000007</v>
      </c>
      <c r="F35" s="133"/>
      <c r="G35" s="134"/>
      <c r="H35" s="133">
        <f>SUM(H37:H78)</f>
        <v>10.040789999999999</v>
      </c>
      <c r="I35" s="135">
        <f t="shared" si="2"/>
        <v>3.8276899999999987</v>
      </c>
      <c r="J35" s="136">
        <f t="shared" si="3"/>
        <v>38.121402797987002</v>
      </c>
      <c r="K35" s="137"/>
      <c r="N35" s="1"/>
      <c r="O35" s="1"/>
      <c r="P35" s="1"/>
      <c r="Q35" s="1"/>
      <c r="R35" s="1"/>
      <c r="S35" s="1"/>
    </row>
    <row r="36" spans="1:19" s="62" customFormat="1">
      <c r="A36" s="1"/>
      <c r="B36" s="167" t="s">
        <v>19</v>
      </c>
      <c r="C36" s="168"/>
      <c r="D36" s="140"/>
      <c r="E36" s="168"/>
      <c r="F36" s="168"/>
      <c r="G36" s="169"/>
      <c r="H36" s="168"/>
      <c r="I36" s="141"/>
      <c r="J36" s="142"/>
      <c r="K36" s="170"/>
      <c r="N36" s="1"/>
      <c r="O36" s="1"/>
      <c r="P36" s="1"/>
      <c r="Q36" s="1"/>
      <c r="R36" s="1"/>
      <c r="S36" s="1"/>
    </row>
    <row r="37" spans="1:19" s="62" customFormat="1">
      <c r="A37" s="1"/>
      <c r="B37" s="171" t="s">
        <v>85</v>
      </c>
      <c r="C37" s="168"/>
      <c r="D37" s="140"/>
      <c r="E37" s="168">
        <v>0.19289999999999999</v>
      </c>
      <c r="F37" s="168"/>
      <c r="G37" s="169"/>
      <c r="H37" s="168">
        <v>0.39261000000000001</v>
      </c>
      <c r="I37" s="141">
        <f t="shared" si="2"/>
        <v>0.19971000000000003</v>
      </c>
      <c r="J37" s="142">
        <f t="shared" si="3"/>
        <v>50.867272866203109</v>
      </c>
      <c r="K37" s="170" t="s">
        <v>734</v>
      </c>
      <c r="N37" s="1"/>
      <c r="O37" s="1"/>
      <c r="P37" s="1"/>
      <c r="Q37" s="1"/>
      <c r="R37" s="1"/>
      <c r="S37" s="1"/>
    </row>
    <row r="38" spans="1:19" s="62" customFormat="1">
      <c r="A38" s="1"/>
      <c r="B38" s="171"/>
      <c r="C38" s="168"/>
      <c r="D38" s="140"/>
      <c r="E38" s="168"/>
      <c r="F38" s="168"/>
      <c r="G38" s="169"/>
      <c r="H38" s="168"/>
      <c r="I38" s="141"/>
      <c r="J38" s="142"/>
      <c r="K38" s="170" t="s">
        <v>735</v>
      </c>
      <c r="N38" s="1"/>
      <c r="O38" s="1"/>
      <c r="P38" s="1"/>
      <c r="Q38" s="1"/>
      <c r="R38" s="1"/>
      <c r="S38" s="1"/>
    </row>
    <row r="39" spans="1:19" s="62" customFormat="1">
      <c r="A39" s="1"/>
      <c r="B39" s="171"/>
      <c r="C39" s="168"/>
      <c r="D39" s="140"/>
      <c r="E39" s="168"/>
      <c r="F39" s="168"/>
      <c r="G39" s="169"/>
      <c r="H39" s="168"/>
      <c r="I39" s="141"/>
      <c r="J39" s="142"/>
      <c r="K39" s="170" t="s">
        <v>736</v>
      </c>
      <c r="N39" s="1"/>
      <c r="O39" s="1"/>
      <c r="P39" s="1"/>
      <c r="Q39" s="1"/>
      <c r="R39" s="1"/>
      <c r="S39" s="1"/>
    </row>
    <row r="40" spans="1:19" s="62" customFormat="1">
      <c r="A40" s="1"/>
      <c r="B40" s="171"/>
      <c r="C40" s="168"/>
      <c r="D40" s="140"/>
      <c r="E40" s="168"/>
      <c r="F40" s="168"/>
      <c r="G40" s="169"/>
      <c r="H40" s="168"/>
      <c r="I40" s="141"/>
      <c r="J40" s="142"/>
      <c r="K40" s="170" t="s">
        <v>737</v>
      </c>
      <c r="N40" s="1"/>
      <c r="O40" s="1"/>
      <c r="P40" s="1"/>
      <c r="Q40" s="1"/>
      <c r="R40" s="1"/>
      <c r="S40" s="1"/>
    </row>
    <row r="41" spans="1:19" s="62" customFormat="1">
      <c r="A41" s="1"/>
      <c r="B41" s="171"/>
      <c r="C41" s="168"/>
      <c r="D41" s="140"/>
      <c r="E41" s="168"/>
      <c r="F41" s="168"/>
      <c r="G41" s="169"/>
      <c r="H41" s="168"/>
      <c r="I41" s="141"/>
      <c r="J41" s="142"/>
      <c r="K41" s="170" t="s">
        <v>738</v>
      </c>
      <c r="N41" s="1"/>
      <c r="O41" s="1"/>
      <c r="P41" s="1"/>
      <c r="Q41" s="1"/>
      <c r="R41" s="1"/>
      <c r="S41" s="1"/>
    </row>
    <row r="42" spans="1:19" s="62" customFormat="1">
      <c r="A42" s="1"/>
      <c r="B42" s="171"/>
      <c r="C42" s="168"/>
      <c r="D42" s="140"/>
      <c r="E42" s="168"/>
      <c r="F42" s="168"/>
      <c r="G42" s="169"/>
      <c r="H42" s="168"/>
      <c r="I42" s="141"/>
      <c r="J42" s="142"/>
      <c r="K42" s="170" t="s">
        <v>739</v>
      </c>
      <c r="N42" s="1"/>
      <c r="O42" s="1"/>
      <c r="P42" s="1"/>
      <c r="Q42" s="1"/>
      <c r="R42" s="1"/>
      <c r="S42" s="1"/>
    </row>
    <row r="43" spans="1:19" s="62" customFormat="1">
      <c r="A43" s="1"/>
      <c r="B43" s="171"/>
      <c r="C43" s="168"/>
      <c r="D43" s="140"/>
      <c r="E43" s="168"/>
      <c r="F43" s="168"/>
      <c r="G43" s="169"/>
      <c r="H43" s="168"/>
      <c r="I43" s="141"/>
      <c r="J43" s="142"/>
      <c r="K43" s="170" t="s">
        <v>740</v>
      </c>
      <c r="N43" s="1"/>
      <c r="O43" s="1"/>
      <c r="P43" s="1"/>
      <c r="Q43" s="1"/>
      <c r="R43" s="1"/>
      <c r="S43" s="1"/>
    </row>
    <row r="44" spans="1:19" s="62" customFormat="1">
      <c r="A44" s="1"/>
      <c r="B44" s="171"/>
      <c r="C44" s="168"/>
      <c r="D44" s="140"/>
      <c r="E44" s="168"/>
      <c r="F44" s="168"/>
      <c r="G44" s="169"/>
      <c r="H44" s="168"/>
      <c r="I44" s="141"/>
      <c r="J44" s="142"/>
      <c r="K44" s="170" t="s">
        <v>741</v>
      </c>
      <c r="N44" s="1"/>
      <c r="O44" s="1"/>
      <c r="P44" s="1"/>
      <c r="Q44" s="1"/>
      <c r="R44" s="1"/>
      <c r="S44" s="1"/>
    </row>
    <row r="45" spans="1:19" s="62" customFormat="1">
      <c r="A45" s="1"/>
      <c r="B45" s="171"/>
      <c r="C45" s="168"/>
      <c r="D45" s="140"/>
      <c r="E45" s="168"/>
      <c r="F45" s="168"/>
      <c r="G45" s="169"/>
      <c r="H45" s="168"/>
      <c r="I45" s="141"/>
      <c r="J45" s="142"/>
      <c r="K45" s="170" t="s">
        <v>742</v>
      </c>
      <c r="N45" s="1"/>
      <c r="O45" s="1"/>
      <c r="P45" s="1"/>
      <c r="Q45" s="1"/>
      <c r="R45" s="1"/>
      <c r="S45" s="1"/>
    </row>
    <row r="46" spans="1:19" s="62" customFormat="1">
      <c r="A46" s="1"/>
      <c r="B46" s="171"/>
      <c r="C46" s="168"/>
      <c r="D46" s="140"/>
      <c r="E46" s="168"/>
      <c r="F46" s="168"/>
      <c r="G46" s="169"/>
      <c r="H46" s="168"/>
      <c r="I46" s="141"/>
      <c r="J46" s="142"/>
      <c r="K46" s="170" t="s">
        <v>743</v>
      </c>
      <c r="N46" s="1"/>
      <c r="O46" s="1"/>
      <c r="P46" s="1"/>
      <c r="Q46" s="1"/>
      <c r="R46" s="1"/>
      <c r="S46" s="1"/>
    </row>
    <row r="47" spans="1:19" s="62" customFormat="1">
      <c r="A47" s="1"/>
      <c r="B47" s="171"/>
      <c r="C47" s="168"/>
      <c r="D47" s="140"/>
      <c r="E47" s="168"/>
      <c r="F47" s="168"/>
      <c r="G47" s="169"/>
      <c r="H47" s="168"/>
      <c r="I47" s="141"/>
      <c r="J47" s="142"/>
      <c r="K47" s="170" t="s">
        <v>744</v>
      </c>
      <c r="N47" s="1"/>
      <c r="O47" s="1"/>
      <c r="P47" s="1"/>
      <c r="Q47" s="1"/>
      <c r="R47" s="1"/>
      <c r="S47" s="1"/>
    </row>
    <row r="48" spans="1:19" s="62" customFormat="1">
      <c r="A48" s="1"/>
      <c r="B48" s="171"/>
      <c r="C48" s="168"/>
      <c r="D48" s="140"/>
      <c r="E48" s="168"/>
      <c r="F48" s="168"/>
      <c r="G48" s="169"/>
      <c r="H48" s="168"/>
      <c r="I48" s="141"/>
      <c r="J48" s="142"/>
      <c r="K48" s="170" t="s">
        <v>745</v>
      </c>
      <c r="N48" s="1"/>
      <c r="O48" s="1"/>
      <c r="P48" s="1"/>
      <c r="Q48" s="1"/>
      <c r="R48" s="1"/>
      <c r="S48" s="1"/>
    </row>
    <row r="49" spans="1:19" s="62" customFormat="1">
      <c r="A49" s="1"/>
      <c r="B49" s="171"/>
      <c r="C49" s="168"/>
      <c r="D49" s="140"/>
      <c r="E49" s="168"/>
      <c r="F49" s="168"/>
      <c r="G49" s="169"/>
      <c r="H49" s="168"/>
      <c r="I49" s="141"/>
      <c r="J49" s="142"/>
      <c r="K49" s="170" t="s">
        <v>746</v>
      </c>
      <c r="N49" s="1"/>
      <c r="O49" s="1"/>
      <c r="P49" s="1"/>
      <c r="Q49" s="1"/>
      <c r="R49" s="1"/>
      <c r="S49" s="1"/>
    </row>
    <row r="50" spans="1:19" s="62" customFormat="1">
      <c r="A50" s="1"/>
      <c r="B50" s="171"/>
      <c r="C50" s="168"/>
      <c r="D50" s="140"/>
      <c r="E50" s="168"/>
      <c r="F50" s="168"/>
      <c r="G50" s="169"/>
      <c r="H50" s="168"/>
      <c r="I50" s="141"/>
      <c r="J50" s="142"/>
      <c r="K50" s="170" t="s">
        <v>747</v>
      </c>
      <c r="N50" s="1"/>
      <c r="O50" s="1"/>
      <c r="P50" s="1"/>
      <c r="Q50" s="1"/>
      <c r="R50" s="1"/>
      <c r="S50" s="1"/>
    </row>
    <row r="51" spans="1:19" s="62" customFormat="1">
      <c r="A51" s="1"/>
      <c r="B51" s="171"/>
      <c r="C51" s="168"/>
      <c r="D51" s="140"/>
      <c r="E51" s="168"/>
      <c r="F51" s="168"/>
      <c r="G51" s="169"/>
      <c r="H51" s="168"/>
      <c r="I51" s="141"/>
      <c r="J51" s="142"/>
      <c r="K51" s="170" t="s">
        <v>748</v>
      </c>
      <c r="N51" s="1"/>
      <c r="O51" s="1"/>
      <c r="P51" s="1"/>
      <c r="Q51" s="1"/>
      <c r="R51" s="1"/>
      <c r="S51" s="1"/>
    </row>
    <row r="52" spans="1:19" s="62" customFormat="1">
      <c r="A52" s="1"/>
      <c r="B52" s="171"/>
      <c r="C52" s="168"/>
      <c r="D52" s="140"/>
      <c r="E52" s="168"/>
      <c r="F52" s="168"/>
      <c r="G52" s="169"/>
      <c r="H52" s="168"/>
      <c r="I52" s="141"/>
      <c r="J52" s="142"/>
      <c r="K52" s="170" t="s">
        <v>749</v>
      </c>
      <c r="N52" s="1"/>
      <c r="O52" s="1"/>
      <c r="P52" s="1"/>
      <c r="Q52" s="1"/>
      <c r="R52" s="1"/>
      <c r="S52" s="1"/>
    </row>
    <row r="53" spans="1:19" s="62" customFormat="1">
      <c r="A53" s="1"/>
      <c r="B53" s="171"/>
      <c r="C53" s="168"/>
      <c r="D53" s="140"/>
      <c r="E53" s="168"/>
      <c r="F53" s="168"/>
      <c r="G53" s="169"/>
      <c r="H53" s="168"/>
      <c r="I53" s="141"/>
      <c r="J53" s="142"/>
      <c r="K53" s="170" t="s">
        <v>750</v>
      </c>
      <c r="N53" s="1"/>
      <c r="O53" s="1"/>
      <c r="P53" s="1"/>
      <c r="Q53" s="1"/>
      <c r="R53" s="1"/>
      <c r="S53" s="1"/>
    </row>
    <row r="54" spans="1:19" s="62" customFormat="1">
      <c r="A54" s="1"/>
      <c r="B54" s="171"/>
      <c r="C54" s="168"/>
      <c r="D54" s="140"/>
      <c r="E54" s="168"/>
      <c r="F54" s="168"/>
      <c r="G54" s="169"/>
      <c r="H54" s="168"/>
      <c r="I54" s="141"/>
      <c r="J54" s="142"/>
      <c r="K54" s="170" t="s">
        <v>751</v>
      </c>
      <c r="N54" s="1"/>
      <c r="O54" s="1"/>
      <c r="P54" s="1"/>
      <c r="Q54" s="1"/>
      <c r="R54" s="1"/>
      <c r="S54" s="1"/>
    </row>
    <row r="55" spans="1:19" s="62" customFormat="1">
      <c r="A55" s="1"/>
      <c r="B55" s="171"/>
      <c r="C55" s="168"/>
      <c r="D55" s="140"/>
      <c r="E55" s="168"/>
      <c r="F55" s="168"/>
      <c r="G55" s="169"/>
      <c r="H55" s="168"/>
      <c r="I55" s="141"/>
      <c r="J55" s="142"/>
      <c r="K55" s="170" t="s">
        <v>752</v>
      </c>
      <c r="N55" s="1"/>
      <c r="O55" s="1"/>
      <c r="P55" s="1"/>
      <c r="Q55" s="1"/>
      <c r="R55" s="1"/>
      <c r="S55" s="1"/>
    </row>
    <row r="56" spans="1:19" s="62" customFormat="1">
      <c r="A56" s="1"/>
      <c r="B56" s="171"/>
      <c r="C56" s="168"/>
      <c r="D56" s="140"/>
      <c r="E56" s="168"/>
      <c r="F56" s="168"/>
      <c r="G56" s="169"/>
      <c r="H56" s="168"/>
      <c r="I56" s="141"/>
      <c r="J56" s="142"/>
      <c r="K56" s="170" t="s">
        <v>753</v>
      </c>
      <c r="N56" s="1"/>
      <c r="O56" s="1"/>
      <c r="P56" s="1"/>
      <c r="Q56" s="1"/>
      <c r="R56" s="1"/>
      <c r="S56" s="1"/>
    </row>
    <row r="57" spans="1:19" s="62" customFormat="1">
      <c r="A57" s="1"/>
      <c r="B57" s="171"/>
      <c r="C57" s="168"/>
      <c r="D57" s="140"/>
      <c r="E57" s="168"/>
      <c r="F57" s="168"/>
      <c r="G57" s="169"/>
      <c r="H57" s="168"/>
      <c r="I57" s="141"/>
      <c r="J57" s="142"/>
      <c r="K57" s="170" t="s">
        <v>754</v>
      </c>
      <c r="N57" s="1"/>
      <c r="O57" s="1"/>
      <c r="P57" s="1"/>
      <c r="Q57" s="1"/>
      <c r="R57" s="1"/>
      <c r="S57" s="1"/>
    </row>
    <row r="58" spans="1:19" s="62" customFormat="1">
      <c r="A58" s="1"/>
      <c r="B58" s="171"/>
      <c r="C58" s="168"/>
      <c r="D58" s="140"/>
      <c r="E58" s="168"/>
      <c r="F58" s="168"/>
      <c r="G58" s="169"/>
      <c r="H58" s="168"/>
      <c r="I58" s="141"/>
      <c r="J58" s="142"/>
      <c r="K58" s="170" t="s">
        <v>755</v>
      </c>
      <c r="N58" s="1"/>
      <c r="O58" s="1"/>
      <c r="P58" s="1"/>
      <c r="Q58" s="1"/>
      <c r="R58" s="1"/>
      <c r="S58" s="1"/>
    </row>
    <row r="59" spans="1:19" s="62" customFormat="1">
      <c r="A59" s="1"/>
      <c r="B59" s="171"/>
      <c r="C59" s="168"/>
      <c r="D59" s="140"/>
      <c r="E59" s="168"/>
      <c r="F59" s="168"/>
      <c r="G59" s="169"/>
      <c r="H59" s="168"/>
      <c r="I59" s="141"/>
      <c r="J59" s="142"/>
      <c r="K59" s="170"/>
      <c r="N59" s="1"/>
      <c r="O59" s="1"/>
      <c r="P59" s="1"/>
      <c r="Q59" s="1"/>
      <c r="R59" s="1"/>
      <c r="S59" s="1"/>
    </row>
    <row r="60" spans="1:19" s="62" customFormat="1">
      <c r="A60" s="1"/>
      <c r="B60" s="171" t="s">
        <v>86</v>
      </c>
      <c r="C60" s="168"/>
      <c r="D60" s="140"/>
      <c r="E60" s="168">
        <v>0.77159999999999995</v>
      </c>
      <c r="F60" s="168"/>
      <c r="G60" s="169"/>
      <c r="H60" s="168">
        <v>0.70009999999999994</v>
      </c>
      <c r="I60" s="141">
        <f t="shared" ref="I60:I87" si="4">+H60-E60</f>
        <v>-7.1500000000000008E-2</v>
      </c>
      <c r="J60" s="142">
        <f t="shared" ref="J60:J87" si="5">+I60*100/H60</f>
        <v>-10.212826739037281</v>
      </c>
      <c r="K60" s="170" t="s">
        <v>756</v>
      </c>
      <c r="N60" s="1"/>
      <c r="O60" s="1"/>
      <c r="P60" s="1"/>
      <c r="Q60" s="1"/>
      <c r="R60" s="1"/>
      <c r="S60" s="1"/>
    </row>
    <row r="61" spans="1:19" s="62" customFormat="1">
      <c r="A61" s="1"/>
      <c r="B61" s="171"/>
      <c r="C61" s="168"/>
      <c r="D61" s="140"/>
      <c r="E61" s="168"/>
      <c r="F61" s="168"/>
      <c r="G61" s="169"/>
      <c r="H61" s="168"/>
      <c r="I61" s="141"/>
      <c r="J61" s="142"/>
      <c r="K61" s="167" t="s">
        <v>757</v>
      </c>
      <c r="N61" s="1"/>
      <c r="O61" s="1"/>
      <c r="P61" s="1"/>
      <c r="Q61" s="1"/>
      <c r="R61" s="1"/>
      <c r="S61" s="1"/>
    </row>
    <row r="62" spans="1:19" s="62" customFormat="1">
      <c r="A62" s="1"/>
      <c r="B62" s="171"/>
      <c r="C62" s="168"/>
      <c r="D62" s="140"/>
      <c r="E62" s="168"/>
      <c r="F62" s="168"/>
      <c r="G62" s="169"/>
      <c r="H62" s="168"/>
      <c r="I62" s="141"/>
      <c r="J62" s="142"/>
      <c r="K62" s="170" t="s">
        <v>758</v>
      </c>
      <c r="N62" s="1"/>
      <c r="O62" s="1"/>
      <c r="P62" s="1"/>
      <c r="Q62" s="1"/>
      <c r="R62" s="1"/>
      <c r="S62" s="1"/>
    </row>
    <row r="63" spans="1:19" s="62" customFormat="1">
      <c r="A63" s="1"/>
      <c r="B63" s="171"/>
      <c r="C63" s="168"/>
      <c r="D63" s="140"/>
      <c r="E63" s="168"/>
      <c r="F63" s="168"/>
      <c r="G63" s="169"/>
      <c r="H63" s="168"/>
      <c r="I63" s="141"/>
      <c r="J63" s="142"/>
      <c r="K63" s="170" t="s">
        <v>759</v>
      </c>
      <c r="N63" s="1"/>
      <c r="O63" s="1"/>
      <c r="P63" s="1"/>
      <c r="Q63" s="1"/>
      <c r="R63" s="1"/>
      <c r="S63" s="1"/>
    </row>
    <row r="64" spans="1:19" s="62" customFormat="1">
      <c r="A64" s="1"/>
      <c r="B64" s="171"/>
      <c r="C64" s="168"/>
      <c r="D64" s="140"/>
      <c r="E64" s="168"/>
      <c r="F64" s="168"/>
      <c r="G64" s="169"/>
      <c r="H64" s="168"/>
      <c r="I64" s="141"/>
      <c r="J64" s="142"/>
      <c r="K64" s="170" t="s">
        <v>760</v>
      </c>
      <c r="N64" s="1"/>
      <c r="O64" s="1"/>
      <c r="P64" s="1"/>
      <c r="Q64" s="1"/>
      <c r="R64" s="1"/>
      <c r="S64" s="1"/>
    </row>
    <row r="65" spans="1:19" s="62" customFormat="1" ht="56.25">
      <c r="A65" s="1"/>
      <c r="B65" s="171"/>
      <c r="C65" s="168"/>
      <c r="D65" s="140"/>
      <c r="E65" s="168"/>
      <c r="F65" s="168"/>
      <c r="G65" s="169"/>
      <c r="H65" s="168"/>
      <c r="I65" s="141"/>
      <c r="J65" s="142"/>
      <c r="K65" s="167" t="s">
        <v>761</v>
      </c>
      <c r="N65" s="1"/>
      <c r="O65" s="1"/>
      <c r="P65" s="1"/>
      <c r="Q65" s="1"/>
      <c r="R65" s="1"/>
      <c r="S65" s="1"/>
    </row>
    <row r="66" spans="1:19" s="62" customFormat="1" ht="37.5">
      <c r="A66" s="1"/>
      <c r="B66" s="171" t="s">
        <v>157</v>
      </c>
      <c r="C66" s="168"/>
      <c r="D66" s="140"/>
      <c r="E66" s="168">
        <v>3.2763</v>
      </c>
      <c r="F66" s="168"/>
      <c r="G66" s="169"/>
      <c r="H66" s="168">
        <v>5.0890300000000002</v>
      </c>
      <c r="I66" s="141">
        <f t="shared" si="4"/>
        <v>1.8127300000000002</v>
      </c>
      <c r="J66" s="142">
        <f t="shared" si="5"/>
        <v>35.620344152028977</v>
      </c>
      <c r="K66" s="167" t="s">
        <v>762</v>
      </c>
      <c r="N66" s="1"/>
      <c r="O66" s="1"/>
      <c r="P66" s="1"/>
      <c r="Q66" s="1"/>
      <c r="R66" s="1"/>
      <c r="S66" s="1"/>
    </row>
    <row r="67" spans="1:19" s="62" customFormat="1" ht="37.5">
      <c r="A67" s="1"/>
      <c r="B67" s="171"/>
      <c r="C67" s="168"/>
      <c r="D67" s="140"/>
      <c r="E67" s="168"/>
      <c r="F67" s="168"/>
      <c r="G67" s="169"/>
      <c r="H67" s="168"/>
      <c r="I67" s="141"/>
      <c r="J67" s="142"/>
      <c r="K67" s="167" t="s">
        <v>763</v>
      </c>
      <c r="N67" s="1"/>
      <c r="O67" s="1"/>
      <c r="P67" s="1"/>
      <c r="Q67" s="1"/>
      <c r="R67" s="1"/>
      <c r="S67" s="1"/>
    </row>
    <row r="68" spans="1:19" s="62" customFormat="1" ht="56.25">
      <c r="A68" s="1"/>
      <c r="B68" s="171"/>
      <c r="C68" s="168"/>
      <c r="D68" s="140"/>
      <c r="E68" s="168"/>
      <c r="F68" s="168"/>
      <c r="G68" s="169"/>
      <c r="H68" s="168"/>
      <c r="I68" s="141"/>
      <c r="J68" s="142"/>
      <c r="K68" s="167" t="s">
        <v>764</v>
      </c>
      <c r="N68" s="1"/>
      <c r="O68" s="1"/>
      <c r="P68" s="1"/>
      <c r="Q68" s="1"/>
      <c r="R68" s="1"/>
      <c r="S68" s="1"/>
    </row>
    <row r="69" spans="1:19" s="62" customFormat="1" ht="37.5">
      <c r="A69" s="1"/>
      <c r="B69" s="171"/>
      <c r="C69" s="168"/>
      <c r="D69" s="140"/>
      <c r="E69" s="168"/>
      <c r="F69" s="168"/>
      <c r="G69" s="169"/>
      <c r="H69" s="168"/>
      <c r="I69" s="141"/>
      <c r="J69" s="142"/>
      <c r="K69" s="167" t="s">
        <v>765</v>
      </c>
      <c r="N69" s="1"/>
      <c r="O69" s="1"/>
      <c r="P69" s="1"/>
      <c r="Q69" s="1"/>
      <c r="R69" s="1"/>
      <c r="S69" s="1"/>
    </row>
    <row r="70" spans="1:19" s="62" customFormat="1" ht="37.5">
      <c r="A70" s="1"/>
      <c r="B70" s="171"/>
      <c r="C70" s="168"/>
      <c r="D70" s="140"/>
      <c r="E70" s="168"/>
      <c r="F70" s="168"/>
      <c r="G70" s="169"/>
      <c r="H70" s="168"/>
      <c r="I70" s="141"/>
      <c r="J70" s="142"/>
      <c r="K70" s="167" t="s">
        <v>766</v>
      </c>
      <c r="N70" s="1"/>
      <c r="O70" s="1"/>
      <c r="P70" s="1"/>
      <c r="Q70" s="1"/>
      <c r="R70" s="1"/>
      <c r="S70" s="1"/>
    </row>
    <row r="71" spans="1:19" s="62" customFormat="1" ht="37.5">
      <c r="A71" s="1"/>
      <c r="B71" s="171"/>
      <c r="C71" s="168"/>
      <c r="D71" s="140"/>
      <c r="E71" s="168"/>
      <c r="F71" s="168"/>
      <c r="G71" s="169"/>
      <c r="H71" s="168"/>
      <c r="I71" s="141"/>
      <c r="J71" s="142"/>
      <c r="K71" s="167" t="s">
        <v>767</v>
      </c>
      <c r="N71" s="1"/>
      <c r="O71" s="1"/>
      <c r="P71" s="1"/>
      <c r="Q71" s="1"/>
      <c r="R71" s="1"/>
      <c r="S71" s="1"/>
    </row>
    <row r="72" spans="1:19" s="62" customFormat="1" ht="37.5">
      <c r="A72" s="1"/>
      <c r="B72" s="171"/>
      <c r="C72" s="168"/>
      <c r="D72" s="140"/>
      <c r="E72" s="168"/>
      <c r="F72" s="168"/>
      <c r="G72" s="169"/>
      <c r="H72" s="168"/>
      <c r="I72" s="141"/>
      <c r="J72" s="142"/>
      <c r="K72" s="167" t="s">
        <v>768</v>
      </c>
      <c r="N72" s="1"/>
      <c r="O72" s="1"/>
      <c r="P72" s="1"/>
      <c r="Q72" s="1"/>
      <c r="R72" s="1"/>
      <c r="S72" s="1"/>
    </row>
    <row r="73" spans="1:19" s="62" customFormat="1" ht="37.5">
      <c r="A73" s="1"/>
      <c r="B73" s="171"/>
      <c r="C73" s="168"/>
      <c r="D73" s="140"/>
      <c r="E73" s="168"/>
      <c r="F73" s="168"/>
      <c r="G73" s="169"/>
      <c r="H73" s="168"/>
      <c r="I73" s="141"/>
      <c r="J73" s="142"/>
      <c r="K73" s="167" t="s">
        <v>769</v>
      </c>
      <c r="N73" s="1"/>
      <c r="O73" s="1"/>
      <c r="P73" s="1"/>
      <c r="Q73" s="1"/>
      <c r="R73" s="1"/>
      <c r="S73" s="1"/>
    </row>
    <row r="74" spans="1:19" s="62" customFormat="1" ht="75">
      <c r="A74" s="1"/>
      <c r="B74" s="171" t="s">
        <v>88</v>
      </c>
      <c r="C74" s="168"/>
      <c r="D74" s="140"/>
      <c r="E74" s="168"/>
      <c r="F74" s="168"/>
      <c r="G74" s="169"/>
      <c r="H74" s="168">
        <v>9.2549999999999993E-2</v>
      </c>
      <c r="I74" s="141">
        <f t="shared" si="4"/>
        <v>9.2549999999999993E-2</v>
      </c>
      <c r="J74" s="142">
        <f t="shared" si="5"/>
        <v>100</v>
      </c>
      <c r="K74" s="167" t="s">
        <v>770</v>
      </c>
      <c r="N74" s="1"/>
      <c r="O74" s="1"/>
      <c r="P74" s="1"/>
      <c r="Q74" s="1"/>
      <c r="R74" s="1"/>
      <c r="S74" s="1"/>
    </row>
    <row r="75" spans="1:19" s="62" customFormat="1">
      <c r="A75" s="1"/>
      <c r="B75" s="171" t="s">
        <v>771</v>
      </c>
      <c r="C75" s="168"/>
      <c r="D75" s="140"/>
      <c r="E75" s="168">
        <v>1.7000000000000001E-2</v>
      </c>
      <c r="F75" s="168"/>
      <c r="G75" s="169"/>
      <c r="H75" s="168"/>
      <c r="I75" s="141"/>
      <c r="J75" s="142"/>
      <c r="K75" s="170"/>
      <c r="N75" s="1"/>
      <c r="O75" s="1"/>
      <c r="P75" s="1"/>
      <c r="Q75" s="1"/>
      <c r="R75" s="1"/>
      <c r="S75" s="1"/>
    </row>
    <row r="76" spans="1:19" s="62" customFormat="1">
      <c r="A76" s="1"/>
      <c r="B76" s="171" t="s">
        <v>772</v>
      </c>
      <c r="C76" s="168"/>
      <c r="D76" s="140"/>
      <c r="E76" s="168">
        <v>0.12529999999999999</v>
      </c>
      <c r="F76" s="168"/>
      <c r="G76" s="169"/>
      <c r="H76" s="168"/>
      <c r="I76" s="141">
        <f t="shared" si="4"/>
        <v>-0.12529999999999999</v>
      </c>
      <c r="J76" s="142">
        <v>0</v>
      </c>
      <c r="K76" s="170"/>
      <c r="N76" s="1"/>
      <c r="O76" s="1"/>
      <c r="P76" s="1"/>
      <c r="Q76" s="1"/>
      <c r="R76" s="1"/>
      <c r="S76" s="1"/>
    </row>
    <row r="77" spans="1:19" s="62" customFormat="1" ht="131.25">
      <c r="A77" s="1"/>
      <c r="B77" s="171" t="s">
        <v>773</v>
      </c>
      <c r="C77" s="168"/>
      <c r="D77" s="140"/>
      <c r="E77" s="168">
        <v>1.83</v>
      </c>
      <c r="F77" s="168"/>
      <c r="G77" s="169"/>
      <c r="H77" s="168">
        <v>3.5865</v>
      </c>
      <c r="I77" s="141">
        <f t="shared" si="4"/>
        <v>1.7565</v>
      </c>
      <c r="J77" s="142">
        <f t="shared" si="5"/>
        <v>48.975324132162278</v>
      </c>
      <c r="K77" s="167" t="s">
        <v>774</v>
      </c>
      <c r="N77" s="1"/>
      <c r="O77" s="1"/>
      <c r="P77" s="1"/>
      <c r="Q77" s="1"/>
      <c r="R77" s="1"/>
      <c r="S77" s="1"/>
    </row>
    <row r="78" spans="1:19" s="62" customFormat="1" ht="40.5">
      <c r="A78" s="1"/>
      <c r="B78" s="167" t="s">
        <v>69</v>
      </c>
      <c r="C78" s="168"/>
      <c r="D78" s="140"/>
      <c r="E78" s="168"/>
      <c r="F78" s="168"/>
      <c r="G78" s="169"/>
      <c r="H78" s="168">
        <f>+H81</f>
        <v>0.18</v>
      </c>
      <c r="I78" s="141">
        <f t="shared" si="4"/>
        <v>0.18</v>
      </c>
      <c r="J78" s="142">
        <f t="shared" si="5"/>
        <v>100</v>
      </c>
      <c r="K78" s="170"/>
      <c r="N78" s="1"/>
      <c r="O78" s="1"/>
      <c r="P78" s="1"/>
      <c r="Q78" s="1"/>
      <c r="R78" s="1"/>
      <c r="S78" s="1"/>
    </row>
    <row r="79" spans="1:19" s="62" customFormat="1">
      <c r="A79" s="1"/>
      <c r="B79" s="171" t="s">
        <v>2</v>
      </c>
      <c r="C79" s="172"/>
      <c r="D79" s="173"/>
      <c r="E79" s="172"/>
      <c r="F79" s="168"/>
      <c r="G79" s="169"/>
      <c r="H79" s="172"/>
      <c r="I79" s="141"/>
      <c r="J79" s="142"/>
      <c r="K79" s="170"/>
      <c r="N79" s="1"/>
      <c r="O79" s="1"/>
      <c r="P79" s="1"/>
      <c r="Q79" s="1"/>
      <c r="R79" s="1"/>
      <c r="S79" s="1"/>
    </row>
    <row r="80" spans="1:19" s="62" customFormat="1">
      <c r="A80" s="1"/>
      <c r="B80" s="171" t="s">
        <v>3</v>
      </c>
      <c r="C80" s="172"/>
      <c r="D80" s="173"/>
      <c r="E80" s="172"/>
      <c r="F80" s="168"/>
      <c r="G80" s="169"/>
      <c r="H80" s="172"/>
      <c r="I80" s="141"/>
      <c r="J80" s="142"/>
      <c r="K80" s="170"/>
      <c r="N80" s="1"/>
      <c r="O80" s="1"/>
      <c r="P80" s="1"/>
      <c r="Q80" s="1"/>
      <c r="R80" s="1"/>
      <c r="S80" s="1"/>
    </row>
    <row r="81" spans="1:19" s="62" customFormat="1" ht="56.25">
      <c r="A81" s="1"/>
      <c r="B81" s="171" t="s">
        <v>775</v>
      </c>
      <c r="C81" s="168"/>
      <c r="D81" s="140"/>
      <c r="E81" s="168"/>
      <c r="F81" s="168"/>
      <c r="G81" s="169"/>
      <c r="H81" s="168">
        <v>0.18</v>
      </c>
      <c r="I81" s="141">
        <f t="shared" si="4"/>
        <v>0.18</v>
      </c>
      <c r="J81" s="142">
        <f t="shared" si="5"/>
        <v>100</v>
      </c>
      <c r="K81" s="167" t="s">
        <v>776</v>
      </c>
      <c r="N81" s="1"/>
      <c r="O81" s="1"/>
      <c r="P81" s="1"/>
      <c r="Q81" s="1"/>
      <c r="R81" s="1"/>
      <c r="S81" s="1"/>
    </row>
    <row r="82" spans="1:19" s="62" customFormat="1">
      <c r="A82" s="1"/>
      <c r="B82" s="167" t="s">
        <v>22</v>
      </c>
      <c r="C82" s="168"/>
      <c r="D82" s="140"/>
      <c r="E82" s="168"/>
      <c r="F82" s="168"/>
      <c r="G82" s="169"/>
      <c r="H82" s="168"/>
      <c r="I82" s="141"/>
      <c r="J82" s="142"/>
      <c r="K82" s="170"/>
      <c r="N82" s="1"/>
      <c r="O82" s="1"/>
      <c r="P82" s="1"/>
      <c r="Q82" s="1"/>
      <c r="R82" s="1"/>
      <c r="S82" s="1"/>
    </row>
    <row r="83" spans="1:19" s="62" customFormat="1">
      <c r="A83" s="1"/>
      <c r="B83" s="171" t="s">
        <v>21</v>
      </c>
      <c r="C83" s="168"/>
      <c r="D83" s="140"/>
      <c r="E83" s="168"/>
      <c r="F83" s="168"/>
      <c r="G83" s="169"/>
      <c r="H83" s="168"/>
      <c r="I83" s="141"/>
      <c r="J83" s="142"/>
      <c r="K83" s="170"/>
      <c r="N83" s="1"/>
      <c r="O83" s="1"/>
      <c r="P83" s="1"/>
      <c r="Q83" s="1"/>
      <c r="R83" s="1"/>
      <c r="S83" s="1"/>
    </row>
    <row r="84" spans="1:19" s="62" customFormat="1">
      <c r="A84" s="1"/>
      <c r="B84" s="167" t="s">
        <v>20</v>
      </c>
      <c r="C84" s="168"/>
      <c r="D84" s="140"/>
      <c r="E84" s="168"/>
      <c r="F84" s="168"/>
      <c r="G84" s="169"/>
      <c r="H84" s="168"/>
      <c r="I84" s="141"/>
      <c r="J84" s="142"/>
      <c r="K84" s="170"/>
      <c r="N84" s="1"/>
      <c r="O84" s="1"/>
      <c r="P84" s="1"/>
      <c r="Q84" s="1"/>
      <c r="R84" s="1"/>
      <c r="S84" s="1"/>
    </row>
    <row r="85" spans="1:19" s="62" customFormat="1">
      <c r="A85" s="1"/>
      <c r="B85" s="171" t="s">
        <v>17</v>
      </c>
      <c r="C85" s="168"/>
      <c r="D85" s="140"/>
      <c r="E85" s="168"/>
      <c r="F85" s="168"/>
      <c r="G85" s="169"/>
      <c r="H85" s="168"/>
      <c r="I85" s="141"/>
      <c r="J85" s="142"/>
      <c r="K85" s="170"/>
      <c r="N85" s="1"/>
      <c r="O85" s="1"/>
      <c r="P85" s="1"/>
      <c r="Q85" s="1"/>
      <c r="R85" s="1"/>
      <c r="S85" s="1"/>
    </row>
    <row r="86" spans="1:19" s="62" customFormat="1">
      <c r="A86" s="1"/>
      <c r="B86" s="216" t="s">
        <v>44</v>
      </c>
      <c r="C86" s="133"/>
      <c r="D86" s="134"/>
      <c r="E86" s="133">
        <f>SUM(E87:E87)</f>
        <v>1.7999999999999999E-2</v>
      </c>
      <c r="F86" s="133"/>
      <c r="G86" s="134"/>
      <c r="H86" s="133">
        <f>SUM(H87:H87)</f>
        <v>5.2209999999999999E-2</v>
      </c>
      <c r="I86" s="135">
        <f t="shared" si="4"/>
        <v>3.4210000000000004E-2</v>
      </c>
      <c r="J86" s="136">
        <f t="shared" si="5"/>
        <v>65.523846006512173</v>
      </c>
      <c r="K86" s="137"/>
      <c r="N86" s="1"/>
      <c r="O86" s="1"/>
      <c r="P86" s="1"/>
      <c r="Q86" s="1"/>
      <c r="R86" s="1"/>
      <c r="S86" s="1"/>
    </row>
    <row r="87" spans="1:19" s="62" customFormat="1" ht="37.5">
      <c r="A87" s="1"/>
      <c r="B87" s="171" t="s">
        <v>158</v>
      </c>
      <c r="C87" s="168"/>
      <c r="D87" s="140"/>
      <c r="E87" s="168">
        <v>1.7999999999999999E-2</v>
      </c>
      <c r="F87" s="168"/>
      <c r="G87" s="169"/>
      <c r="H87" s="139">
        <v>5.2209999999999999E-2</v>
      </c>
      <c r="I87" s="141">
        <f t="shared" si="4"/>
        <v>3.4210000000000004E-2</v>
      </c>
      <c r="J87" s="142">
        <f t="shared" si="5"/>
        <v>65.523846006512173</v>
      </c>
      <c r="K87" s="167" t="s">
        <v>777</v>
      </c>
      <c r="N87" s="1"/>
      <c r="O87" s="1"/>
      <c r="P87" s="1"/>
      <c r="Q87" s="1"/>
      <c r="R87" s="1"/>
      <c r="S87" s="1"/>
    </row>
    <row r="88" spans="1:19" s="62" customFormat="1">
      <c r="A88" s="1"/>
      <c r="B88" s="179" t="s">
        <v>45</v>
      </c>
      <c r="C88" s="180"/>
      <c r="D88" s="181"/>
      <c r="E88" s="180">
        <f>SUM(E89:E93)</f>
        <v>0</v>
      </c>
      <c r="F88" s="180"/>
      <c r="G88" s="181"/>
      <c r="H88" s="180">
        <f>SUM(H89:H93)</f>
        <v>0</v>
      </c>
      <c r="I88" s="182"/>
      <c r="J88" s="183"/>
      <c r="K88" s="184"/>
      <c r="N88" s="1"/>
      <c r="O88" s="1"/>
      <c r="P88" s="1"/>
      <c r="Q88" s="1"/>
      <c r="R88" s="1"/>
      <c r="S88" s="1"/>
    </row>
    <row r="89" spans="1:19" s="62" customFormat="1">
      <c r="A89" s="1"/>
      <c r="B89" s="171" t="s">
        <v>106</v>
      </c>
      <c r="C89" s="168"/>
      <c r="D89" s="140"/>
      <c r="E89" s="168"/>
      <c r="F89" s="168"/>
      <c r="G89" s="169"/>
      <c r="H89" s="168"/>
      <c r="I89" s="168"/>
      <c r="J89" s="168"/>
      <c r="K89" s="170"/>
      <c r="N89" s="1"/>
      <c r="O89" s="1"/>
      <c r="P89" s="1"/>
      <c r="Q89" s="1"/>
      <c r="R89" s="1"/>
      <c r="S89" s="1"/>
    </row>
    <row r="90" spans="1:19" s="62" customFormat="1">
      <c r="A90" s="1"/>
      <c r="B90" s="171" t="s">
        <v>107</v>
      </c>
      <c r="C90" s="168"/>
      <c r="D90" s="140"/>
      <c r="E90" s="168"/>
      <c r="F90" s="168"/>
      <c r="G90" s="169"/>
      <c r="H90" s="168"/>
      <c r="I90" s="168"/>
      <c r="J90" s="168"/>
      <c r="K90" s="170"/>
      <c r="N90" s="1"/>
      <c r="O90" s="1"/>
      <c r="P90" s="1"/>
      <c r="Q90" s="1"/>
      <c r="R90" s="1"/>
      <c r="S90" s="1"/>
    </row>
    <row r="91" spans="1:19" s="62" customFormat="1">
      <c r="A91" s="1"/>
      <c r="B91" s="171" t="s">
        <v>108</v>
      </c>
      <c r="C91" s="168"/>
      <c r="D91" s="140"/>
      <c r="E91" s="168"/>
      <c r="F91" s="168"/>
      <c r="G91" s="169"/>
      <c r="H91" s="168"/>
      <c r="I91" s="168"/>
      <c r="J91" s="168"/>
      <c r="K91" s="170"/>
      <c r="N91" s="1"/>
      <c r="O91" s="1"/>
      <c r="P91" s="1"/>
      <c r="Q91" s="1"/>
      <c r="R91" s="1"/>
      <c r="S91" s="1"/>
    </row>
    <row r="92" spans="1:19" s="62" customFormat="1">
      <c r="A92" s="1"/>
      <c r="B92" s="171" t="s">
        <v>109</v>
      </c>
      <c r="C92" s="168"/>
      <c r="D92" s="140"/>
      <c r="E92" s="168"/>
      <c r="F92" s="168"/>
      <c r="G92" s="169"/>
      <c r="H92" s="168"/>
      <c r="I92" s="168"/>
      <c r="J92" s="168"/>
      <c r="K92" s="170"/>
      <c r="N92" s="1"/>
      <c r="O92" s="1"/>
      <c r="P92" s="1"/>
      <c r="Q92" s="1"/>
      <c r="R92" s="1"/>
      <c r="S92" s="1"/>
    </row>
    <row r="93" spans="1:19" s="62" customFormat="1">
      <c r="A93" s="1"/>
      <c r="B93" s="171" t="s">
        <v>111</v>
      </c>
      <c r="C93" s="168"/>
      <c r="D93" s="140"/>
      <c r="E93" s="168"/>
      <c r="F93" s="168"/>
      <c r="G93" s="169"/>
      <c r="H93" s="168"/>
      <c r="I93" s="168"/>
      <c r="J93" s="168"/>
      <c r="K93" s="170"/>
      <c r="N93" s="1"/>
      <c r="O93" s="1"/>
      <c r="P93" s="1"/>
      <c r="Q93" s="1"/>
      <c r="R93" s="1"/>
      <c r="S93" s="1"/>
    </row>
    <row r="94" spans="1:19" s="62" customFormat="1">
      <c r="A94" s="1"/>
      <c r="B94" s="221" t="s">
        <v>46</v>
      </c>
      <c r="C94" s="222"/>
      <c r="D94" s="223"/>
      <c r="E94" s="222">
        <f>+E95+E106</f>
        <v>0</v>
      </c>
      <c r="F94" s="222"/>
      <c r="G94" s="223"/>
      <c r="H94" s="222">
        <f>+H95+H106</f>
        <v>0</v>
      </c>
      <c r="I94" s="226"/>
      <c r="J94" s="226"/>
      <c r="K94" s="226"/>
      <c r="N94" s="1"/>
      <c r="O94" s="1"/>
      <c r="P94" s="1"/>
      <c r="Q94" s="1"/>
      <c r="R94" s="1"/>
      <c r="S94" s="1"/>
    </row>
    <row r="95" spans="1:19" s="62" customFormat="1">
      <c r="A95" s="1"/>
      <c r="B95" s="179" t="s">
        <v>47</v>
      </c>
      <c r="C95" s="180"/>
      <c r="D95" s="181"/>
      <c r="E95" s="180">
        <f>+E97</f>
        <v>0</v>
      </c>
      <c r="F95" s="180"/>
      <c r="G95" s="181"/>
      <c r="H95" s="180">
        <f>+H97</f>
        <v>0</v>
      </c>
      <c r="I95" s="184"/>
      <c r="J95" s="184"/>
      <c r="K95" s="184"/>
      <c r="N95" s="1"/>
      <c r="O95" s="1"/>
      <c r="P95" s="1"/>
      <c r="Q95" s="1"/>
      <c r="R95" s="1"/>
      <c r="S95" s="1"/>
    </row>
    <row r="96" spans="1:19" s="62" customFormat="1">
      <c r="A96" s="1"/>
      <c r="B96" s="167" t="s">
        <v>19</v>
      </c>
      <c r="C96" s="168"/>
      <c r="D96" s="140"/>
      <c r="E96" s="168"/>
      <c r="F96" s="168"/>
      <c r="G96" s="169"/>
      <c r="H96" s="168"/>
      <c r="I96" s="170"/>
      <c r="J96" s="170"/>
      <c r="K96" s="170"/>
      <c r="N96" s="1"/>
      <c r="O96" s="1"/>
      <c r="P96" s="1"/>
      <c r="Q96" s="1"/>
      <c r="R96" s="1"/>
      <c r="S96" s="1"/>
    </row>
    <row r="97" spans="1:19" s="62" customFormat="1">
      <c r="A97" s="1"/>
      <c r="B97" s="216" t="s">
        <v>110</v>
      </c>
      <c r="C97" s="133"/>
      <c r="D97" s="134"/>
      <c r="E97" s="133"/>
      <c r="F97" s="133"/>
      <c r="G97" s="134"/>
      <c r="H97" s="133"/>
      <c r="I97" s="137"/>
      <c r="J97" s="137"/>
      <c r="K97" s="137"/>
      <c r="N97" s="1"/>
      <c r="O97" s="1"/>
      <c r="P97" s="1"/>
      <c r="Q97" s="1"/>
      <c r="R97" s="1"/>
      <c r="S97" s="1"/>
    </row>
    <row r="98" spans="1:19" s="62" customFormat="1">
      <c r="A98" s="1"/>
      <c r="B98" s="171" t="s">
        <v>17</v>
      </c>
      <c r="C98" s="168"/>
      <c r="D98" s="140"/>
      <c r="E98" s="168"/>
      <c r="F98" s="168"/>
      <c r="G98" s="169"/>
      <c r="H98" s="168"/>
      <c r="I98" s="168"/>
      <c r="J98" s="168"/>
      <c r="K98" s="170"/>
      <c r="N98" s="1"/>
      <c r="O98" s="1"/>
      <c r="P98" s="1"/>
      <c r="Q98" s="1"/>
      <c r="R98" s="1"/>
      <c r="S98" s="1"/>
    </row>
    <row r="99" spans="1:19" s="62" customFormat="1">
      <c r="A99" s="1"/>
      <c r="B99" s="171" t="s">
        <v>18</v>
      </c>
      <c r="C99" s="168"/>
      <c r="D99" s="140"/>
      <c r="E99" s="168"/>
      <c r="F99" s="168"/>
      <c r="G99" s="169"/>
      <c r="H99" s="168"/>
      <c r="I99" s="168"/>
      <c r="J99" s="168"/>
      <c r="K99" s="170"/>
      <c r="N99" s="1"/>
      <c r="O99" s="1"/>
      <c r="P99" s="1"/>
      <c r="Q99" s="1"/>
      <c r="R99" s="1"/>
      <c r="S99" s="1"/>
    </row>
    <row r="100" spans="1:19" s="62" customFormat="1">
      <c r="A100" s="1"/>
      <c r="B100" s="167" t="s">
        <v>22</v>
      </c>
      <c r="C100" s="168"/>
      <c r="D100" s="140"/>
      <c r="E100" s="168"/>
      <c r="F100" s="168"/>
      <c r="G100" s="169"/>
      <c r="H100" s="168"/>
      <c r="I100" s="168"/>
      <c r="J100" s="168"/>
      <c r="K100" s="170"/>
      <c r="N100" s="1"/>
      <c r="O100" s="1"/>
      <c r="P100" s="1"/>
      <c r="Q100" s="1"/>
      <c r="R100" s="1"/>
      <c r="S100" s="1"/>
    </row>
    <row r="101" spans="1:19" s="62" customFormat="1">
      <c r="A101" s="1"/>
      <c r="B101" s="167" t="s">
        <v>48</v>
      </c>
      <c r="C101" s="168"/>
      <c r="D101" s="140"/>
      <c r="E101" s="168"/>
      <c r="F101" s="168"/>
      <c r="G101" s="169"/>
      <c r="H101" s="168"/>
      <c r="I101" s="168"/>
      <c r="J101" s="168"/>
      <c r="K101" s="170"/>
      <c r="N101" s="1"/>
      <c r="O101" s="1"/>
      <c r="P101" s="1"/>
      <c r="Q101" s="1"/>
      <c r="R101" s="1"/>
      <c r="S101" s="1"/>
    </row>
    <row r="102" spans="1:19" s="62" customFormat="1">
      <c r="A102" s="1"/>
      <c r="B102" s="171" t="s">
        <v>23</v>
      </c>
      <c r="C102" s="168"/>
      <c r="D102" s="140"/>
      <c r="E102" s="168"/>
      <c r="F102" s="168"/>
      <c r="G102" s="169"/>
      <c r="H102" s="168"/>
      <c r="I102" s="168"/>
      <c r="J102" s="168"/>
      <c r="K102" s="170"/>
      <c r="N102" s="1"/>
      <c r="O102" s="1"/>
      <c r="P102" s="1"/>
      <c r="Q102" s="1"/>
      <c r="R102" s="1"/>
      <c r="S102" s="1"/>
    </row>
    <row r="103" spans="1:19" s="62" customFormat="1">
      <c r="A103" s="1"/>
      <c r="B103" s="167" t="s">
        <v>20</v>
      </c>
      <c r="C103" s="168"/>
      <c r="D103" s="140"/>
      <c r="E103" s="168"/>
      <c r="F103" s="168"/>
      <c r="G103" s="169"/>
      <c r="H103" s="168"/>
      <c r="I103" s="168"/>
      <c r="J103" s="168"/>
      <c r="K103" s="170"/>
      <c r="N103" s="1"/>
      <c r="O103" s="1"/>
      <c r="P103" s="1"/>
      <c r="Q103" s="1"/>
      <c r="R103" s="1"/>
      <c r="S103" s="1"/>
    </row>
    <row r="104" spans="1:19" s="62" customFormat="1">
      <c r="A104" s="1"/>
      <c r="B104" s="167" t="s">
        <v>48</v>
      </c>
      <c r="C104" s="168"/>
      <c r="D104" s="140"/>
      <c r="E104" s="168"/>
      <c r="F104" s="168"/>
      <c r="G104" s="169"/>
      <c r="H104" s="168"/>
      <c r="I104" s="168"/>
      <c r="J104" s="168"/>
      <c r="K104" s="170"/>
      <c r="N104" s="1"/>
      <c r="O104" s="1"/>
      <c r="P104" s="1"/>
      <c r="Q104" s="1"/>
      <c r="R104" s="1"/>
      <c r="S104" s="1"/>
    </row>
    <row r="105" spans="1:19" s="62" customFormat="1">
      <c r="A105" s="1"/>
      <c r="B105" s="171" t="s">
        <v>23</v>
      </c>
      <c r="C105" s="168"/>
      <c r="D105" s="140"/>
      <c r="E105" s="168"/>
      <c r="F105" s="168"/>
      <c r="G105" s="169"/>
      <c r="H105" s="168"/>
      <c r="I105" s="168"/>
      <c r="J105" s="168"/>
      <c r="K105" s="170"/>
      <c r="N105" s="1"/>
      <c r="O105" s="1"/>
      <c r="P105" s="1"/>
      <c r="Q105" s="1"/>
      <c r="R105" s="1"/>
      <c r="S105" s="1"/>
    </row>
    <row r="106" spans="1:19" s="62" customFormat="1">
      <c r="A106" s="1"/>
      <c r="B106" s="179" t="s">
        <v>49</v>
      </c>
      <c r="C106" s="180"/>
      <c r="D106" s="181"/>
      <c r="E106" s="180">
        <f>+E108</f>
        <v>0</v>
      </c>
      <c r="F106" s="180"/>
      <c r="G106" s="181"/>
      <c r="H106" s="180">
        <f>+H108</f>
        <v>0</v>
      </c>
      <c r="I106" s="184"/>
      <c r="J106" s="184"/>
      <c r="K106" s="184"/>
      <c r="N106" s="1"/>
      <c r="O106" s="1"/>
      <c r="P106" s="1"/>
      <c r="Q106" s="1"/>
      <c r="R106" s="1"/>
      <c r="S106" s="1"/>
    </row>
    <row r="107" spans="1:19" s="62" customFormat="1">
      <c r="A107" s="1"/>
      <c r="B107" s="167" t="s">
        <v>19</v>
      </c>
      <c r="C107" s="168"/>
      <c r="D107" s="140"/>
      <c r="E107" s="168"/>
      <c r="F107" s="168"/>
      <c r="G107" s="169"/>
      <c r="H107" s="168"/>
      <c r="I107" s="168"/>
      <c r="J107" s="168"/>
      <c r="K107" s="170"/>
      <c r="N107" s="1"/>
      <c r="O107" s="1"/>
      <c r="P107" s="1"/>
      <c r="Q107" s="1"/>
      <c r="R107" s="1"/>
      <c r="S107" s="1"/>
    </row>
    <row r="108" spans="1:19" s="62" customFormat="1">
      <c r="A108" s="1"/>
      <c r="B108" s="216" t="s">
        <v>50</v>
      </c>
      <c r="C108" s="133"/>
      <c r="D108" s="134"/>
      <c r="E108" s="133"/>
      <c r="F108" s="133"/>
      <c r="G108" s="134"/>
      <c r="H108" s="133"/>
      <c r="I108" s="133"/>
      <c r="J108" s="133"/>
      <c r="K108" s="137"/>
      <c r="N108" s="1"/>
      <c r="O108" s="1"/>
      <c r="P108" s="1"/>
      <c r="Q108" s="1"/>
      <c r="R108" s="1"/>
      <c r="S108" s="1"/>
    </row>
    <row r="109" spans="1:19" s="62" customFormat="1" ht="27.75" customHeight="1">
      <c r="A109" s="16"/>
      <c r="B109" s="171" t="s">
        <v>17</v>
      </c>
      <c r="C109" s="168"/>
      <c r="D109" s="140"/>
      <c r="E109" s="168"/>
      <c r="F109" s="168"/>
      <c r="G109" s="169"/>
      <c r="H109" s="168"/>
      <c r="I109" s="168"/>
      <c r="J109" s="168"/>
      <c r="K109" s="170"/>
      <c r="N109" s="1"/>
      <c r="O109" s="1"/>
      <c r="P109" s="1"/>
      <c r="Q109" s="1"/>
      <c r="R109" s="1"/>
      <c r="S109" s="1"/>
    </row>
    <row r="110" spans="1:19" s="62" customFormat="1" ht="27.75" customHeight="1">
      <c r="A110" s="1"/>
      <c r="B110" s="171" t="s">
        <v>18</v>
      </c>
      <c r="C110" s="168"/>
      <c r="D110" s="140"/>
      <c r="E110" s="168"/>
      <c r="F110" s="168"/>
      <c r="G110" s="169"/>
      <c r="H110" s="168"/>
      <c r="I110" s="168"/>
      <c r="J110" s="168"/>
      <c r="K110" s="170"/>
      <c r="N110" s="1"/>
      <c r="O110" s="1"/>
      <c r="P110" s="1"/>
      <c r="Q110" s="1"/>
      <c r="R110" s="1"/>
      <c r="S110" s="1"/>
    </row>
    <row r="111" spans="1:19" s="62" customFormat="1">
      <c r="A111" s="1"/>
      <c r="B111" s="167" t="s">
        <v>22</v>
      </c>
      <c r="C111" s="168"/>
      <c r="D111" s="140"/>
      <c r="E111" s="168"/>
      <c r="F111" s="168"/>
      <c r="G111" s="169"/>
      <c r="H111" s="168"/>
      <c r="I111" s="168"/>
      <c r="J111" s="168"/>
      <c r="K111" s="170"/>
      <c r="N111" s="1"/>
      <c r="O111" s="1"/>
      <c r="P111" s="1"/>
      <c r="Q111" s="1"/>
      <c r="R111" s="1"/>
      <c r="S111" s="1"/>
    </row>
    <row r="112" spans="1:19" s="62" customFormat="1">
      <c r="A112" s="1"/>
      <c r="B112" s="167" t="s">
        <v>51</v>
      </c>
      <c r="C112" s="168"/>
      <c r="D112" s="140"/>
      <c r="E112" s="168"/>
      <c r="F112" s="168"/>
      <c r="G112" s="169"/>
      <c r="H112" s="168"/>
      <c r="I112" s="168"/>
      <c r="J112" s="168"/>
      <c r="K112" s="170"/>
      <c r="N112" s="1"/>
      <c r="O112" s="1"/>
      <c r="P112" s="1"/>
      <c r="Q112" s="1"/>
      <c r="R112" s="1"/>
      <c r="S112" s="1"/>
    </row>
    <row r="113" spans="1:19" s="62" customFormat="1">
      <c r="A113" s="1"/>
      <c r="B113" s="171" t="s">
        <v>23</v>
      </c>
      <c r="C113" s="168"/>
      <c r="D113" s="140"/>
      <c r="E113" s="168"/>
      <c r="F113" s="168"/>
      <c r="G113" s="169"/>
      <c r="H113" s="168"/>
      <c r="I113" s="168"/>
      <c r="J113" s="168"/>
      <c r="K113" s="170"/>
      <c r="N113" s="1"/>
      <c r="O113" s="1"/>
      <c r="P113" s="1"/>
      <c r="Q113" s="1"/>
      <c r="R113" s="1"/>
      <c r="S113" s="1"/>
    </row>
    <row r="114" spans="1:19" s="62" customFormat="1">
      <c r="A114" s="1"/>
      <c r="B114" s="167" t="s">
        <v>20</v>
      </c>
      <c r="C114" s="168"/>
      <c r="D114" s="140"/>
      <c r="E114" s="168"/>
      <c r="F114" s="168"/>
      <c r="G114" s="169"/>
      <c r="H114" s="168"/>
      <c r="I114" s="168"/>
      <c r="J114" s="168"/>
      <c r="K114" s="170"/>
      <c r="N114" s="1"/>
      <c r="O114" s="1"/>
      <c r="P114" s="1"/>
      <c r="Q114" s="1"/>
      <c r="R114" s="1"/>
      <c r="S114" s="1"/>
    </row>
    <row r="115" spans="1:19" s="62" customFormat="1">
      <c r="A115" s="1"/>
      <c r="B115" s="167" t="s">
        <v>51</v>
      </c>
      <c r="C115" s="168"/>
      <c r="D115" s="140"/>
      <c r="E115" s="168"/>
      <c r="F115" s="168"/>
      <c r="G115" s="169"/>
      <c r="H115" s="168"/>
      <c r="I115" s="168"/>
      <c r="J115" s="168"/>
      <c r="K115" s="170"/>
      <c r="N115" s="1"/>
      <c r="O115" s="1"/>
      <c r="P115" s="1"/>
      <c r="Q115" s="1"/>
      <c r="R115" s="1"/>
      <c r="S115" s="1"/>
    </row>
    <row r="116" spans="1:19" s="62" customFormat="1">
      <c r="A116" s="1"/>
      <c r="B116" s="171" t="s">
        <v>23</v>
      </c>
      <c r="C116" s="168"/>
      <c r="D116" s="140"/>
      <c r="E116" s="168"/>
      <c r="F116" s="168"/>
      <c r="G116" s="169"/>
      <c r="H116" s="168"/>
      <c r="I116" s="168"/>
      <c r="J116" s="168"/>
      <c r="K116" s="170"/>
      <c r="N116" s="1"/>
      <c r="O116" s="1"/>
      <c r="P116" s="1"/>
      <c r="Q116" s="1"/>
      <c r="R116" s="1"/>
      <c r="S116" s="1"/>
    </row>
    <row r="117" spans="1:19" s="62" customFormat="1">
      <c r="A117" s="1"/>
      <c r="B117" s="216" t="s">
        <v>53</v>
      </c>
      <c r="C117" s="133"/>
      <c r="D117" s="134"/>
      <c r="E117" s="133"/>
      <c r="F117" s="133"/>
      <c r="G117" s="134"/>
      <c r="H117" s="133"/>
      <c r="I117" s="133"/>
      <c r="J117" s="133"/>
      <c r="K117" s="137"/>
      <c r="N117" s="1"/>
      <c r="O117" s="1"/>
      <c r="P117" s="1"/>
      <c r="Q117" s="1"/>
      <c r="R117" s="1"/>
      <c r="S117" s="1"/>
    </row>
    <row r="118" spans="1:19" s="62" customFormat="1">
      <c r="A118" s="1"/>
      <c r="B118" s="167" t="s">
        <v>52</v>
      </c>
      <c r="C118" s="168"/>
      <c r="D118" s="140"/>
      <c r="E118" s="168"/>
      <c r="F118" s="168"/>
      <c r="G118" s="169"/>
      <c r="H118" s="168"/>
      <c r="I118" s="168"/>
      <c r="J118" s="168"/>
      <c r="K118" s="170"/>
      <c r="N118" s="1"/>
      <c r="O118" s="1"/>
      <c r="P118" s="1"/>
      <c r="Q118" s="1"/>
      <c r="R118" s="1"/>
      <c r="S118" s="1"/>
    </row>
    <row r="119" spans="1:19" s="62" customFormat="1">
      <c r="A119" s="1"/>
      <c r="B119" s="167"/>
      <c r="C119" s="168"/>
      <c r="D119" s="140"/>
      <c r="E119" s="168"/>
      <c r="F119" s="168"/>
      <c r="G119" s="169"/>
      <c r="H119" s="168"/>
      <c r="I119" s="168"/>
      <c r="J119" s="168"/>
      <c r="K119" s="170"/>
      <c r="N119" s="1"/>
      <c r="O119" s="1"/>
      <c r="P119" s="1"/>
      <c r="Q119" s="1"/>
      <c r="R119" s="1"/>
      <c r="S119" s="1"/>
    </row>
    <row r="120" spans="1:19" s="62" customFormat="1">
      <c r="A120" s="1"/>
      <c r="B120" s="185" t="s">
        <v>56</v>
      </c>
      <c r="C120" s="145"/>
      <c r="D120" s="146"/>
      <c r="E120" s="145">
        <f>SUM(E121:E121)</f>
        <v>0</v>
      </c>
      <c r="F120" s="145"/>
      <c r="G120" s="146"/>
      <c r="H120" s="145">
        <f>SUM(H121:H122)</f>
        <v>0</v>
      </c>
      <c r="I120" s="149"/>
      <c r="J120" s="149"/>
      <c r="K120" s="149"/>
      <c r="N120" s="1"/>
      <c r="O120" s="1"/>
      <c r="P120" s="1"/>
      <c r="Q120" s="1"/>
      <c r="R120" s="1"/>
      <c r="S120" s="1"/>
    </row>
    <row r="121" spans="1:19" s="62" customFormat="1">
      <c r="A121" s="1"/>
      <c r="B121" s="167"/>
      <c r="C121" s="168"/>
      <c r="D121" s="140"/>
      <c r="E121" s="168"/>
      <c r="F121" s="168"/>
      <c r="G121" s="169"/>
      <c r="H121" s="168"/>
      <c r="I121" s="168"/>
      <c r="J121" s="168"/>
      <c r="K121" s="170"/>
      <c r="N121" s="1"/>
      <c r="O121" s="1"/>
      <c r="P121" s="1"/>
      <c r="Q121" s="1"/>
      <c r="R121" s="1"/>
      <c r="S121" s="1"/>
    </row>
    <row r="122" spans="1:19" s="62" customFormat="1">
      <c r="A122" s="1"/>
      <c r="B122" s="167"/>
      <c r="C122" s="168"/>
      <c r="D122" s="140"/>
      <c r="E122" s="168"/>
      <c r="F122" s="168"/>
      <c r="G122" s="169"/>
      <c r="H122" s="168"/>
      <c r="I122" s="168"/>
      <c r="J122" s="168"/>
      <c r="K122" s="170"/>
      <c r="N122" s="1"/>
      <c r="O122" s="1"/>
      <c r="P122" s="1"/>
      <c r="Q122" s="1"/>
      <c r="R122" s="1"/>
      <c r="S122" s="1"/>
    </row>
    <row r="123" spans="1:19" s="62" customFormat="1" ht="37.5">
      <c r="A123" s="1"/>
      <c r="B123" s="156" t="s">
        <v>160</v>
      </c>
      <c r="C123" s="157"/>
      <c r="D123" s="158"/>
      <c r="E123" s="157">
        <f>+E124</f>
        <v>7.5960999999999999</v>
      </c>
      <c r="F123" s="157"/>
      <c r="G123" s="158"/>
      <c r="H123" s="157">
        <f>+H124</f>
        <v>0</v>
      </c>
      <c r="I123" s="159">
        <f t="shared" ref="I123:I186" si="6">+H123-E123</f>
        <v>-7.5960999999999999</v>
      </c>
      <c r="J123" s="160"/>
      <c r="K123" s="161"/>
      <c r="N123" s="1"/>
      <c r="O123" s="1"/>
      <c r="P123" s="1"/>
      <c r="Q123" s="1"/>
      <c r="R123" s="1"/>
      <c r="S123" s="1"/>
    </row>
    <row r="124" spans="1:19" s="62" customFormat="1" ht="37.5">
      <c r="A124" s="1"/>
      <c r="B124" s="248" t="s">
        <v>161</v>
      </c>
      <c r="C124" s="249"/>
      <c r="D124" s="250"/>
      <c r="E124" s="249">
        <f>+E125</f>
        <v>7.5960999999999999</v>
      </c>
      <c r="F124" s="249"/>
      <c r="G124" s="250"/>
      <c r="H124" s="249">
        <f>+H125</f>
        <v>0</v>
      </c>
      <c r="I124" s="251">
        <f t="shared" si="6"/>
        <v>-7.5960999999999999</v>
      </c>
      <c r="J124" s="252"/>
      <c r="K124" s="253"/>
      <c r="N124" s="1"/>
      <c r="O124" s="1"/>
      <c r="P124" s="1"/>
      <c r="Q124" s="1"/>
      <c r="R124" s="1"/>
      <c r="S124" s="1"/>
    </row>
    <row r="125" spans="1:19" s="62" customFormat="1" ht="37.5">
      <c r="A125" s="1"/>
      <c r="B125" s="202" t="s">
        <v>162</v>
      </c>
      <c r="C125" s="172"/>
      <c r="D125" s="173"/>
      <c r="E125" s="139">
        <f>+E129+E156+E179+E182</f>
        <v>7.5960999999999999</v>
      </c>
      <c r="F125" s="172"/>
      <c r="G125" s="173"/>
      <c r="H125" s="139">
        <f>+H129+H156+H179+H182</f>
        <v>0</v>
      </c>
      <c r="I125" s="141">
        <f t="shared" si="6"/>
        <v>-7.5960999999999999</v>
      </c>
      <c r="J125" s="142"/>
      <c r="K125" s="170"/>
      <c r="N125" s="1"/>
      <c r="O125" s="1"/>
      <c r="P125" s="1"/>
      <c r="Q125" s="1"/>
      <c r="R125" s="1"/>
      <c r="S125" s="1"/>
    </row>
    <row r="126" spans="1:19" s="62" customFormat="1">
      <c r="A126" s="1"/>
      <c r="B126" s="266" t="s">
        <v>24</v>
      </c>
      <c r="C126" s="168"/>
      <c r="D126" s="169"/>
      <c r="E126" s="172"/>
      <c r="F126" s="139"/>
      <c r="G126" s="140"/>
      <c r="H126" s="172"/>
      <c r="I126" s="141">
        <f t="shared" si="6"/>
        <v>0</v>
      </c>
      <c r="J126" s="142"/>
      <c r="K126" s="170"/>
      <c r="N126" s="1"/>
      <c r="O126" s="1"/>
      <c r="P126" s="1"/>
      <c r="Q126" s="1"/>
      <c r="R126" s="1"/>
      <c r="S126" s="1"/>
    </row>
    <row r="127" spans="1:19" s="62" customFormat="1" ht="32.25">
      <c r="A127" s="1"/>
      <c r="B127" s="231" t="s">
        <v>68</v>
      </c>
      <c r="C127" s="267" t="s">
        <v>25</v>
      </c>
      <c r="D127" s="268"/>
      <c r="E127" s="267" t="s">
        <v>58</v>
      </c>
      <c r="F127" s="267"/>
      <c r="G127" s="268" t="s">
        <v>26</v>
      </c>
      <c r="H127" s="267"/>
      <c r="I127" s="141"/>
      <c r="J127" s="142"/>
      <c r="K127" s="269"/>
      <c r="N127" s="1"/>
      <c r="O127" s="1"/>
      <c r="P127" s="1"/>
      <c r="Q127" s="1"/>
      <c r="R127" s="1"/>
      <c r="S127" s="1"/>
    </row>
    <row r="128" spans="1:19" s="62" customFormat="1" ht="32.25">
      <c r="A128" s="1"/>
      <c r="B128" s="231"/>
      <c r="C128" s="267" t="s">
        <v>60</v>
      </c>
      <c r="D128" s="268"/>
      <c r="E128" s="267" t="s">
        <v>62</v>
      </c>
      <c r="F128" s="267"/>
      <c r="G128" s="268" t="s">
        <v>61</v>
      </c>
      <c r="H128" s="267"/>
      <c r="I128" s="141"/>
      <c r="J128" s="142"/>
      <c r="K128" s="269"/>
      <c r="N128" s="1"/>
      <c r="O128" s="1"/>
      <c r="P128" s="1"/>
      <c r="Q128" s="1"/>
      <c r="R128" s="1"/>
      <c r="S128" s="1"/>
    </row>
    <row r="129" spans="1:19" s="62" customFormat="1">
      <c r="A129" s="1"/>
      <c r="B129" s="177" t="s">
        <v>38</v>
      </c>
      <c r="C129" s="121"/>
      <c r="D129" s="122"/>
      <c r="E129" s="121">
        <f>+E130+E150</f>
        <v>7.5960999999999999</v>
      </c>
      <c r="F129" s="121"/>
      <c r="G129" s="122"/>
      <c r="H129" s="121">
        <f>+H130+H150</f>
        <v>0</v>
      </c>
      <c r="I129" s="123">
        <f t="shared" si="6"/>
        <v>-7.5960999999999999</v>
      </c>
      <c r="J129" s="124"/>
      <c r="K129" s="125"/>
      <c r="N129" s="1"/>
      <c r="O129" s="1"/>
      <c r="P129" s="1"/>
      <c r="Q129" s="1"/>
      <c r="R129" s="1"/>
      <c r="S129" s="1"/>
    </row>
    <row r="130" spans="1:19" s="62" customFormat="1">
      <c r="A130" s="1"/>
      <c r="B130" s="179" t="s">
        <v>41</v>
      </c>
      <c r="C130" s="180"/>
      <c r="D130" s="181"/>
      <c r="E130" s="180">
        <f>+E131+E134+E147</f>
        <v>7.5960999999999999</v>
      </c>
      <c r="F130" s="180"/>
      <c r="G130" s="181"/>
      <c r="H130" s="180">
        <f>+H131+H134+H147</f>
        <v>0</v>
      </c>
      <c r="I130" s="182">
        <f t="shared" si="6"/>
        <v>-7.5960999999999999</v>
      </c>
      <c r="J130" s="183">
        <v>0</v>
      </c>
      <c r="K130" s="184"/>
      <c r="N130" s="1"/>
      <c r="O130" s="1"/>
      <c r="P130" s="1"/>
      <c r="Q130" s="1"/>
      <c r="R130" s="1"/>
      <c r="S130" s="1"/>
    </row>
    <row r="131" spans="1:19" s="62" customFormat="1">
      <c r="A131" s="1"/>
      <c r="B131" s="216" t="s">
        <v>42</v>
      </c>
      <c r="C131" s="133"/>
      <c r="D131" s="134"/>
      <c r="E131" s="133">
        <f>SUM(E132:E132)</f>
        <v>0.9</v>
      </c>
      <c r="F131" s="133"/>
      <c r="G131" s="134"/>
      <c r="H131" s="133">
        <f>SUM(H132:H132)</f>
        <v>0</v>
      </c>
      <c r="I131" s="135">
        <f t="shared" si="6"/>
        <v>-0.9</v>
      </c>
      <c r="J131" s="136">
        <v>0</v>
      </c>
      <c r="K131" s="137"/>
      <c r="N131" s="1"/>
      <c r="O131" s="1"/>
      <c r="P131" s="1"/>
      <c r="Q131" s="1"/>
      <c r="R131" s="1"/>
      <c r="S131" s="1"/>
    </row>
    <row r="132" spans="1:19" s="62" customFormat="1">
      <c r="A132" s="1"/>
      <c r="B132" s="171" t="s">
        <v>112</v>
      </c>
      <c r="C132" s="168"/>
      <c r="D132" s="140"/>
      <c r="E132" s="168">
        <v>0.9</v>
      </c>
      <c r="F132" s="168"/>
      <c r="G132" s="169"/>
      <c r="H132" s="139"/>
      <c r="I132" s="141">
        <f t="shared" si="6"/>
        <v>-0.9</v>
      </c>
      <c r="J132" s="142">
        <v>0</v>
      </c>
      <c r="K132" s="170"/>
      <c r="N132" s="1"/>
      <c r="O132" s="1"/>
      <c r="P132" s="1"/>
      <c r="Q132" s="1"/>
      <c r="R132" s="1"/>
      <c r="S132" s="1"/>
    </row>
    <row r="133" spans="1:19" s="62" customFormat="1">
      <c r="A133" s="1"/>
      <c r="B133" s="171"/>
      <c r="C133" s="168"/>
      <c r="D133" s="140"/>
      <c r="E133" s="168"/>
      <c r="F133" s="168"/>
      <c r="G133" s="169"/>
      <c r="H133" s="139"/>
      <c r="I133" s="141"/>
      <c r="J133" s="142"/>
      <c r="K133" s="170"/>
      <c r="N133" s="1"/>
      <c r="O133" s="1"/>
      <c r="P133" s="1"/>
      <c r="Q133" s="1"/>
      <c r="R133" s="1"/>
      <c r="S133" s="1"/>
    </row>
    <row r="134" spans="1:19" s="62" customFormat="1">
      <c r="A134" s="1"/>
      <c r="B134" s="216" t="s">
        <v>43</v>
      </c>
      <c r="C134" s="133"/>
      <c r="D134" s="134"/>
      <c r="E134" s="133">
        <f>SUM(E136:E140)</f>
        <v>6.5020999999999995</v>
      </c>
      <c r="F134" s="133"/>
      <c r="G134" s="134"/>
      <c r="H134" s="133">
        <f>SUM(H136:H140)</f>
        <v>0</v>
      </c>
      <c r="I134" s="135">
        <f t="shared" si="6"/>
        <v>-6.5020999999999995</v>
      </c>
      <c r="J134" s="136"/>
      <c r="K134" s="137"/>
      <c r="N134" s="1"/>
      <c r="O134" s="1"/>
      <c r="P134" s="1"/>
      <c r="Q134" s="1"/>
      <c r="R134" s="1"/>
      <c r="S134" s="1"/>
    </row>
    <row r="135" spans="1:19" s="62" customFormat="1">
      <c r="A135" s="1"/>
      <c r="B135" s="167" t="s">
        <v>19</v>
      </c>
      <c r="C135" s="168"/>
      <c r="D135" s="140"/>
      <c r="E135" s="168"/>
      <c r="F135" s="168"/>
      <c r="G135" s="169"/>
      <c r="H135" s="139"/>
      <c r="I135" s="141">
        <f t="shared" si="6"/>
        <v>0</v>
      </c>
      <c r="J135" s="142"/>
      <c r="K135" s="170"/>
      <c r="N135" s="1"/>
      <c r="O135" s="1"/>
      <c r="P135" s="1"/>
      <c r="Q135" s="1"/>
      <c r="R135" s="1"/>
      <c r="S135" s="1"/>
    </row>
    <row r="136" spans="1:19" s="62" customFormat="1">
      <c r="A136" s="1"/>
      <c r="B136" s="171" t="s">
        <v>85</v>
      </c>
      <c r="C136" s="168"/>
      <c r="D136" s="140"/>
      <c r="E136" s="168">
        <v>0.56240000000000001</v>
      </c>
      <c r="F136" s="168"/>
      <c r="G136" s="169"/>
      <c r="H136" s="139"/>
      <c r="I136" s="141">
        <f t="shared" si="6"/>
        <v>-0.56240000000000001</v>
      </c>
      <c r="J136" s="142"/>
      <c r="K136" s="170"/>
      <c r="N136" s="1"/>
      <c r="O136" s="1"/>
      <c r="P136" s="1"/>
      <c r="Q136" s="1"/>
      <c r="R136" s="1"/>
      <c r="S136" s="1"/>
    </row>
    <row r="137" spans="1:19" s="62" customFormat="1">
      <c r="A137" s="1"/>
      <c r="B137" s="171" t="s">
        <v>86</v>
      </c>
      <c r="C137" s="168"/>
      <c r="D137" s="140"/>
      <c r="E137" s="168">
        <v>1</v>
      </c>
      <c r="F137" s="168"/>
      <c r="G137" s="169"/>
      <c r="H137" s="139"/>
      <c r="I137" s="141">
        <f t="shared" si="6"/>
        <v>-1</v>
      </c>
      <c r="J137" s="142"/>
      <c r="K137" s="170"/>
      <c r="N137" s="1"/>
      <c r="O137" s="1"/>
      <c r="P137" s="1"/>
      <c r="Q137" s="1"/>
      <c r="R137" s="1"/>
      <c r="S137" s="1"/>
    </row>
    <row r="138" spans="1:19" s="62" customFormat="1">
      <c r="A138" s="1"/>
      <c r="B138" s="171" t="s">
        <v>157</v>
      </c>
      <c r="C138" s="168"/>
      <c r="D138" s="140"/>
      <c r="E138" s="168">
        <v>1.972</v>
      </c>
      <c r="F138" s="168"/>
      <c r="G138" s="169"/>
      <c r="H138" s="139"/>
      <c r="I138" s="141">
        <f t="shared" si="6"/>
        <v>-1.972</v>
      </c>
      <c r="J138" s="142"/>
      <c r="K138" s="170"/>
      <c r="N138" s="1"/>
      <c r="O138" s="1"/>
      <c r="P138" s="1"/>
      <c r="Q138" s="1"/>
      <c r="R138" s="1"/>
      <c r="S138" s="1"/>
    </row>
    <row r="139" spans="1:19" s="62" customFormat="1" ht="37.5">
      <c r="A139" s="1"/>
      <c r="B139" s="171" t="s">
        <v>163</v>
      </c>
      <c r="C139" s="168"/>
      <c r="D139" s="140"/>
      <c r="E139" s="168">
        <v>2.9676999999999998</v>
      </c>
      <c r="F139" s="168"/>
      <c r="G139" s="169"/>
      <c r="H139" s="139"/>
      <c r="I139" s="141">
        <f t="shared" si="6"/>
        <v>-2.9676999999999998</v>
      </c>
      <c r="J139" s="142"/>
      <c r="K139" s="170"/>
      <c r="N139" s="1"/>
      <c r="O139" s="1"/>
      <c r="P139" s="1"/>
      <c r="Q139" s="1"/>
      <c r="R139" s="1"/>
      <c r="S139" s="1"/>
    </row>
    <row r="140" spans="1:19" s="62" customFormat="1" ht="40.5">
      <c r="A140" s="1"/>
      <c r="B140" s="167" t="s">
        <v>69</v>
      </c>
      <c r="C140" s="168"/>
      <c r="D140" s="140"/>
      <c r="E140" s="168"/>
      <c r="F140" s="168"/>
      <c r="G140" s="169"/>
      <c r="H140" s="139"/>
      <c r="I140" s="141">
        <f t="shared" si="6"/>
        <v>0</v>
      </c>
      <c r="J140" s="142"/>
      <c r="K140" s="170"/>
      <c r="N140" s="1"/>
      <c r="O140" s="1"/>
      <c r="P140" s="1"/>
      <c r="Q140" s="1"/>
      <c r="R140" s="1"/>
      <c r="S140" s="1"/>
    </row>
    <row r="141" spans="1:19" s="62" customFormat="1">
      <c r="A141" s="1"/>
      <c r="B141" s="171" t="s">
        <v>2</v>
      </c>
      <c r="C141" s="172"/>
      <c r="D141" s="173"/>
      <c r="E141" s="172"/>
      <c r="F141" s="168"/>
      <c r="G141" s="169"/>
      <c r="H141" s="172"/>
      <c r="I141" s="141">
        <f>+H141-E141</f>
        <v>0</v>
      </c>
      <c r="J141" s="142"/>
      <c r="K141" s="170"/>
      <c r="N141" s="1"/>
      <c r="O141" s="1"/>
      <c r="P141" s="1"/>
      <c r="Q141" s="1"/>
      <c r="R141" s="1"/>
      <c r="S141" s="1"/>
    </row>
    <row r="142" spans="1:19" s="62" customFormat="1">
      <c r="A142" s="1"/>
      <c r="B142" s="171" t="s">
        <v>3</v>
      </c>
      <c r="C142" s="172"/>
      <c r="D142" s="173"/>
      <c r="E142" s="172"/>
      <c r="F142" s="168"/>
      <c r="G142" s="169"/>
      <c r="H142" s="172"/>
      <c r="I142" s="141">
        <f t="shared" si="6"/>
        <v>0</v>
      </c>
      <c r="J142" s="142"/>
      <c r="K142" s="170"/>
      <c r="N142" s="1"/>
      <c r="O142" s="1"/>
      <c r="P142" s="1"/>
      <c r="Q142" s="1"/>
      <c r="R142" s="1"/>
      <c r="S142" s="1"/>
    </row>
    <row r="143" spans="1:19" s="62" customFormat="1">
      <c r="A143" s="1"/>
      <c r="B143" s="167" t="s">
        <v>22</v>
      </c>
      <c r="C143" s="168"/>
      <c r="D143" s="140"/>
      <c r="E143" s="168"/>
      <c r="F143" s="168"/>
      <c r="G143" s="169"/>
      <c r="H143" s="168"/>
      <c r="I143" s="141">
        <f t="shared" si="6"/>
        <v>0</v>
      </c>
      <c r="J143" s="142"/>
      <c r="K143" s="170"/>
      <c r="N143" s="1"/>
      <c r="O143" s="1"/>
      <c r="P143" s="1"/>
      <c r="Q143" s="1"/>
      <c r="R143" s="1"/>
      <c r="S143" s="1"/>
    </row>
    <row r="144" spans="1:19" s="62" customFormat="1">
      <c r="A144" s="1"/>
      <c r="B144" s="171" t="s">
        <v>21</v>
      </c>
      <c r="C144" s="168"/>
      <c r="D144" s="140"/>
      <c r="E144" s="168"/>
      <c r="F144" s="168"/>
      <c r="G144" s="169"/>
      <c r="H144" s="168"/>
      <c r="I144" s="141">
        <f t="shared" si="6"/>
        <v>0</v>
      </c>
      <c r="J144" s="142"/>
      <c r="K144" s="170"/>
      <c r="N144" s="1"/>
      <c r="O144" s="1"/>
      <c r="P144" s="1"/>
      <c r="Q144" s="1"/>
      <c r="R144" s="1"/>
      <c r="S144" s="1"/>
    </row>
    <row r="145" spans="1:19" s="62" customFormat="1">
      <c r="A145" s="1"/>
      <c r="B145" s="167" t="s">
        <v>20</v>
      </c>
      <c r="C145" s="168"/>
      <c r="D145" s="140"/>
      <c r="E145" s="168"/>
      <c r="F145" s="168"/>
      <c r="G145" s="169"/>
      <c r="H145" s="168"/>
      <c r="I145" s="141">
        <f t="shared" si="6"/>
        <v>0</v>
      </c>
      <c r="J145" s="142"/>
      <c r="K145" s="170"/>
      <c r="N145" s="1"/>
      <c r="O145" s="1"/>
      <c r="P145" s="1"/>
      <c r="Q145" s="1"/>
      <c r="R145" s="1"/>
      <c r="S145" s="1"/>
    </row>
    <row r="146" spans="1:19" s="62" customFormat="1">
      <c r="A146" s="1"/>
      <c r="B146" s="171" t="s">
        <v>17</v>
      </c>
      <c r="C146" s="168"/>
      <c r="D146" s="140"/>
      <c r="E146" s="168"/>
      <c r="F146" s="168"/>
      <c r="G146" s="169"/>
      <c r="H146" s="168"/>
      <c r="I146" s="141">
        <f t="shared" si="6"/>
        <v>0</v>
      </c>
      <c r="J146" s="142"/>
      <c r="K146" s="170"/>
      <c r="N146" s="1"/>
      <c r="O146" s="1"/>
      <c r="P146" s="1"/>
      <c r="Q146" s="1"/>
      <c r="R146" s="1"/>
      <c r="S146" s="1"/>
    </row>
    <row r="147" spans="1:19" s="62" customFormat="1">
      <c r="A147" s="1"/>
      <c r="B147" s="216" t="s">
        <v>44</v>
      </c>
      <c r="C147" s="133"/>
      <c r="D147" s="134"/>
      <c r="E147" s="133">
        <f>SUM(E148:E149)</f>
        <v>0.19400000000000001</v>
      </c>
      <c r="F147" s="133"/>
      <c r="G147" s="134"/>
      <c r="H147" s="133">
        <f>SUM(H148:H149)</f>
        <v>0</v>
      </c>
      <c r="I147" s="135">
        <f t="shared" si="6"/>
        <v>-0.19400000000000001</v>
      </c>
      <c r="J147" s="136"/>
      <c r="K147" s="137"/>
      <c r="N147" s="1"/>
      <c r="O147" s="1"/>
      <c r="P147" s="1"/>
      <c r="Q147" s="1"/>
      <c r="R147" s="1"/>
      <c r="S147" s="1"/>
    </row>
    <row r="148" spans="1:19" s="62" customFormat="1">
      <c r="A148" s="1"/>
      <c r="B148" s="171" t="s">
        <v>90</v>
      </c>
      <c r="C148" s="168"/>
      <c r="D148" s="140"/>
      <c r="E148" s="168">
        <v>0.06</v>
      </c>
      <c r="F148" s="168"/>
      <c r="G148" s="169"/>
      <c r="H148" s="139"/>
      <c r="I148" s="141">
        <f t="shared" si="6"/>
        <v>-0.06</v>
      </c>
      <c r="J148" s="142"/>
      <c r="K148" s="170"/>
      <c r="N148" s="1"/>
      <c r="O148" s="1"/>
      <c r="P148" s="1"/>
      <c r="Q148" s="1"/>
      <c r="R148" s="1"/>
      <c r="S148" s="1"/>
    </row>
    <row r="149" spans="1:19" s="62" customFormat="1">
      <c r="A149" s="1"/>
      <c r="B149" s="171" t="s">
        <v>91</v>
      </c>
      <c r="C149" s="168"/>
      <c r="D149" s="140"/>
      <c r="E149" s="168">
        <v>0.13400000000000001</v>
      </c>
      <c r="F149" s="168"/>
      <c r="G149" s="169"/>
      <c r="H149" s="139"/>
      <c r="I149" s="141">
        <f t="shared" si="6"/>
        <v>-0.13400000000000001</v>
      </c>
      <c r="J149" s="142"/>
      <c r="K149" s="170"/>
      <c r="N149" s="1"/>
      <c r="O149" s="1"/>
      <c r="P149" s="1"/>
      <c r="Q149" s="1"/>
      <c r="R149" s="1"/>
      <c r="S149" s="1"/>
    </row>
    <row r="150" spans="1:19" s="62" customFormat="1">
      <c r="A150" s="1"/>
      <c r="B150" s="179" t="s">
        <v>45</v>
      </c>
      <c r="C150" s="180"/>
      <c r="D150" s="181"/>
      <c r="E150" s="180">
        <f>SUM(E151:E155)</f>
        <v>0</v>
      </c>
      <c r="F150" s="180"/>
      <c r="G150" s="181"/>
      <c r="H150" s="180">
        <f>SUM(H151:H155)</f>
        <v>0</v>
      </c>
      <c r="I150" s="182">
        <f t="shared" si="6"/>
        <v>0</v>
      </c>
      <c r="J150" s="183"/>
      <c r="K150" s="184"/>
      <c r="N150" s="1"/>
      <c r="O150" s="1"/>
      <c r="P150" s="1"/>
      <c r="Q150" s="1"/>
      <c r="R150" s="1"/>
      <c r="S150" s="1"/>
    </row>
    <row r="151" spans="1:19" s="62" customFormat="1">
      <c r="A151" s="1"/>
      <c r="B151" s="171" t="s">
        <v>106</v>
      </c>
      <c r="C151" s="168"/>
      <c r="D151" s="140"/>
      <c r="E151" s="168"/>
      <c r="F151" s="168"/>
      <c r="G151" s="169"/>
      <c r="H151" s="139"/>
      <c r="I151" s="141">
        <f t="shared" si="6"/>
        <v>0</v>
      </c>
      <c r="J151" s="142"/>
      <c r="K151" s="170"/>
      <c r="N151" s="1"/>
      <c r="O151" s="1"/>
      <c r="P151" s="1"/>
      <c r="Q151" s="1"/>
      <c r="R151" s="1"/>
      <c r="S151" s="1"/>
    </row>
    <row r="152" spans="1:19" s="62" customFormat="1">
      <c r="A152" s="1"/>
      <c r="B152" s="171" t="s">
        <v>107</v>
      </c>
      <c r="C152" s="168"/>
      <c r="D152" s="140"/>
      <c r="E152" s="168"/>
      <c r="F152" s="168"/>
      <c r="G152" s="169"/>
      <c r="H152" s="139"/>
      <c r="I152" s="141">
        <f t="shared" si="6"/>
        <v>0</v>
      </c>
      <c r="J152" s="142"/>
      <c r="K152" s="170"/>
      <c r="N152" s="1"/>
      <c r="O152" s="1"/>
      <c r="P152" s="1"/>
      <c r="Q152" s="1"/>
      <c r="R152" s="1"/>
      <c r="S152" s="1"/>
    </row>
    <row r="153" spans="1:19" s="62" customFormat="1">
      <c r="A153" s="1"/>
      <c r="B153" s="171" t="s">
        <v>108</v>
      </c>
      <c r="C153" s="168"/>
      <c r="D153" s="140"/>
      <c r="E153" s="168"/>
      <c r="F153" s="168"/>
      <c r="G153" s="169"/>
      <c r="H153" s="139"/>
      <c r="I153" s="141">
        <f t="shared" si="6"/>
        <v>0</v>
      </c>
      <c r="J153" s="142"/>
      <c r="K153" s="170"/>
      <c r="N153" s="1"/>
      <c r="O153" s="1"/>
      <c r="P153" s="1"/>
      <c r="Q153" s="1"/>
      <c r="R153" s="1"/>
      <c r="S153" s="1"/>
    </row>
    <row r="154" spans="1:19" s="62" customFormat="1">
      <c r="A154" s="1"/>
      <c r="B154" s="171" t="s">
        <v>109</v>
      </c>
      <c r="C154" s="168"/>
      <c r="D154" s="140"/>
      <c r="E154" s="168"/>
      <c r="F154" s="168"/>
      <c r="G154" s="169"/>
      <c r="H154" s="139"/>
      <c r="I154" s="141">
        <f t="shared" si="6"/>
        <v>0</v>
      </c>
      <c r="J154" s="142"/>
      <c r="K154" s="170"/>
      <c r="N154" s="1"/>
      <c r="O154" s="1"/>
      <c r="P154" s="1"/>
      <c r="Q154" s="1"/>
      <c r="R154" s="1"/>
      <c r="S154" s="1"/>
    </row>
    <row r="155" spans="1:19" s="62" customFormat="1">
      <c r="A155" s="1"/>
      <c r="B155" s="171" t="s">
        <v>111</v>
      </c>
      <c r="C155" s="168"/>
      <c r="D155" s="140"/>
      <c r="E155" s="168"/>
      <c r="F155" s="168"/>
      <c r="G155" s="169"/>
      <c r="H155" s="139"/>
      <c r="I155" s="141">
        <f t="shared" si="6"/>
        <v>0</v>
      </c>
      <c r="J155" s="142"/>
      <c r="K155" s="170"/>
      <c r="N155" s="1"/>
      <c r="O155" s="1"/>
      <c r="P155" s="1"/>
      <c r="Q155" s="1"/>
      <c r="R155" s="1"/>
      <c r="S155" s="1"/>
    </row>
    <row r="156" spans="1:19" s="62" customFormat="1">
      <c r="A156" s="1"/>
      <c r="B156" s="221" t="s">
        <v>46</v>
      </c>
      <c r="C156" s="222"/>
      <c r="D156" s="223"/>
      <c r="E156" s="222">
        <f>+E157+E168</f>
        <v>0</v>
      </c>
      <c r="F156" s="222"/>
      <c r="G156" s="223"/>
      <c r="H156" s="222">
        <f>+H157+H168</f>
        <v>0</v>
      </c>
      <c r="I156" s="226"/>
      <c r="J156" s="226"/>
      <c r="K156" s="226"/>
      <c r="N156" s="1"/>
      <c r="O156" s="1"/>
      <c r="P156" s="1"/>
      <c r="Q156" s="1"/>
      <c r="R156" s="1"/>
      <c r="S156" s="1"/>
    </row>
    <row r="157" spans="1:19" s="62" customFormat="1">
      <c r="A157" s="1"/>
      <c r="B157" s="179" t="s">
        <v>47</v>
      </c>
      <c r="C157" s="180"/>
      <c r="D157" s="181"/>
      <c r="E157" s="180">
        <f>+E159</f>
        <v>0</v>
      </c>
      <c r="F157" s="180"/>
      <c r="G157" s="181"/>
      <c r="H157" s="180">
        <f>+H159</f>
        <v>0</v>
      </c>
      <c r="I157" s="184"/>
      <c r="J157" s="184"/>
      <c r="K157" s="184"/>
      <c r="N157" s="1"/>
      <c r="O157" s="1"/>
      <c r="P157" s="1"/>
      <c r="Q157" s="1"/>
      <c r="R157" s="1"/>
      <c r="S157" s="1"/>
    </row>
    <row r="158" spans="1:19" s="62" customFormat="1">
      <c r="A158" s="1"/>
      <c r="B158" s="167" t="s">
        <v>19</v>
      </c>
      <c r="C158" s="168"/>
      <c r="D158" s="140"/>
      <c r="E158" s="168"/>
      <c r="F158" s="168"/>
      <c r="G158" s="169"/>
      <c r="H158" s="168"/>
      <c r="I158" s="170"/>
      <c r="J158" s="170"/>
      <c r="K158" s="170"/>
      <c r="N158" s="1"/>
      <c r="O158" s="1"/>
      <c r="P158" s="1"/>
      <c r="Q158" s="1"/>
      <c r="R158" s="1"/>
      <c r="S158" s="1"/>
    </row>
    <row r="159" spans="1:19" s="62" customFormat="1">
      <c r="A159" s="1"/>
      <c r="B159" s="216" t="s">
        <v>110</v>
      </c>
      <c r="C159" s="133"/>
      <c r="D159" s="134"/>
      <c r="E159" s="133"/>
      <c r="F159" s="133"/>
      <c r="G159" s="134"/>
      <c r="H159" s="133"/>
      <c r="I159" s="137"/>
      <c r="J159" s="137"/>
      <c r="K159" s="137"/>
      <c r="N159" s="1"/>
      <c r="O159" s="1"/>
      <c r="P159" s="1"/>
      <c r="Q159" s="1"/>
      <c r="R159" s="1"/>
      <c r="S159" s="1"/>
    </row>
    <row r="160" spans="1:19" s="62" customFormat="1">
      <c r="A160" s="1"/>
      <c r="B160" s="171" t="s">
        <v>17</v>
      </c>
      <c r="C160" s="168"/>
      <c r="D160" s="140"/>
      <c r="E160" s="168"/>
      <c r="F160" s="168"/>
      <c r="G160" s="169"/>
      <c r="H160" s="168"/>
      <c r="I160" s="168"/>
      <c r="J160" s="168"/>
      <c r="K160" s="170"/>
      <c r="N160" s="1"/>
      <c r="O160" s="1"/>
      <c r="P160" s="1"/>
      <c r="Q160" s="1"/>
      <c r="R160" s="1"/>
      <c r="S160" s="1"/>
    </row>
    <row r="161" spans="1:19" s="62" customFormat="1">
      <c r="A161" s="1"/>
      <c r="B161" s="171" t="s">
        <v>18</v>
      </c>
      <c r="C161" s="168"/>
      <c r="D161" s="140"/>
      <c r="E161" s="168"/>
      <c r="F161" s="168"/>
      <c r="G161" s="169"/>
      <c r="H161" s="168"/>
      <c r="I161" s="168"/>
      <c r="J161" s="168"/>
      <c r="K161" s="170"/>
      <c r="N161" s="1"/>
      <c r="O161" s="1"/>
      <c r="P161" s="1"/>
      <c r="Q161" s="1"/>
      <c r="R161" s="1"/>
      <c r="S161" s="1"/>
    </row>
    <row r="162" spans="1:19" s="62" customFormat="1">
      <c r="A162" s="1"/>
      <c r="B162" s="167" t="s">
        <v>22</v>
      </c>
      <c r="C162" s="168"/>
      <c r="D162" s="140"/>
      <c r="E162" s="168"/>
      <c r="F162" s="168"/>
      <c r="G162" s="169"/>
      <c r="H162" s="168"/>
      <c r="I162" s="168"/>
      <c r="J162" s="168"/>
      <c r="K162" s="170"/>
      <c r="N162" s="1"/>
      <c r="O162" s="1"/>
      <c r="P162" s="1"/>
      <c r="Q162" s="1"/>
      <c r="R162" s="1"/>
      <c r="S162" s="1"/>
    </row>
    <row r="163" spans="1:19" s="62" customFormat="1">
      <c r="A163" s="1"/>
      <c r="B163" s="167" t="s">
        <v>48</v>
      </c>
      <c r="C163" s="168"/>
      <c r="D163" s="140"/>
      <c r="E163" s="168"/>
      <c r="F163" s="168"/>
      <c r="G163" s="169"/>
      <c r="H163" s="168"/>
      <c r="I163" s="168"/>
      <c r="J163" s="168"/>
      <c r="K163" s="170"/>
      <c r="N163" s="1"/>
      <c r="O163" s="1"/>
      <c r="P163" s="1"/>
      <c r="Q163" s="1"/>
      <c r="R163" s="1"/>
      <c r="S163" s="1"/>
    </row>
    <row r="164" spans="1:19" s="62" customFormat="1">
      <c r="A164" s="1"/>
      <c r="B164" s="171" t="s">
        <v>23</v>
      </c>
      <c r="C164" s="168"/>
      <c r="D164" s="140"/>
      <c r="E164" s="168"/>
      <c r="F164" s="168"/>
      <c r="G164" s="169"/>
      <c r="H164" s="168"/>
      <c r="I164" s="168"/>
      <c r="J164" s="168"/>
      <c r="K164" s="170"/>
      <c r="N164" s="1"/>
      <c r="O164" s="1"/>
      <c r="P164" s="1"/>
      <c r="Q164" s="1"/>
      <c r="R164" s="1"/>
      <c r="S164" s="1"/>
    </row>
    <row r="165" spans="1:19" s="62" customFormat="1">
      <c r="A165" s="1"/>
      <c r="B165" s="167" t="s">
        <v>20</v>
      </c>
      <c r="C165" s="168"/>
      <c r="D165" s="140"/>
      <c r="E165" s="168"/>
      <c r="F165" s="168"/>
      <c r="G165" s="169"/>
      <c r="H165" s="168"/>
      <c r="I165" s="168"/>
      <c r="J165" s="168"/>
      <c r="K165" s="170"/>
      <c r="N165" s="1"/>
      <c r="O165" s="1"/>
      <c r="P165" s="1"/>
      <c r="Q165" s="1"/>
      <c r="R165" s="1"/>
      <c r="S165" s="1"/>
    </row>
    <row r="166" spans="1:19" s="62" customFormat="1">
      <c r="A166" s="1"/>
      <c r="B166" s="167" t="s">
        <v>48</v>
      </c>
      <c r="C166" s="168"/>
      <c r="D166" s="140"/>
      <c r="E166" s="168"/>
      <c r="F166" s="168"/>
      <c r="G166" s="169"/>
      <c r="H166" s="168"/>
      <c r="I166" s="168"/>
      <c r="J166" s="168"/>
      <c r="K166" s="170"/>
      <c r="N166" s="1"/>
      <c r="O166" s="1"/>
      <c r="P166" s="1"/>
      <c r="Q166" s="1"/>
      <c r="R166" s="1"/>
      <c r="S166" s="1"/>
    </row>
    <row r="167" spans="1:19" s="62" customFormat="1">
      <c r="A167" s="1"/>
      <c r="B167" s="171" t="s">
        <v>23</v>
      </c>
      <c r="C167" s="168"/>
      <c r="D167" s="140"/>
      <c r="E167" s="168"/>
      <c r="F167" s="168"/>
      <c r="G167" s="169"/>
      <c r="H167" s="168"/>
      <c r="I167" s="168"/>
      <c r="J167" s="168"/>
      <c r="K167" s="170"/>
      <c r="N167" s="1"/>
      <c r="O167" s="1"/>
      <c r="P167" s="1"/>
      <c r="Q167" s="1"/>
      <c r="R167" s="1"/>
      <c r="S167" s="1"/>
    </row>
    <row r="168" spans="1:19" s="62" customFormat="1">
      <c r="A168" s="1"/>
      <c r="B168" s="179" t="s">
        <v>49</v>
      </c>
      <c r="C168" s="180"/>
      <c r="D168" s="181"/>
      <c r="E168" s="180">
        <f>+E170</f>
        <v>0</v>
      </c>
      <c r="F168" s="180"/>
      <c r="G168" s="181"/>
      <c r="H168" s="180">
        <f>+H170</f>
        <v>0</v>
      </c>
      <c r="I168" s="184"/>
      <c r="J168" s="184"/>
      <c r="K168" s="184"/>
      <c r="N168" s="1"/>
      <c r="O168" s="1"/>
      <c r="P168" s="1"/>
      <c r="Q168" s="1"/>
      <c r="R168" s="1"/>
      <c r="S168" s="1"/>
    </row>
    <row r="169" spans="1:19" s="62" customFormat="1">
      <c r="A169" s="1"/>
      <c r="B169" s="167" t="s">
        <v>19</v>
      </c>
      <c r="C169" s="168"/>
      <c r="D169" s="140"/>
      <c r="E169" s="168"/>
      <c r="F169" s="168"/>
      <c r="G169" s="169"/>
      <c r="H169" s="168"/>
      <c r="I169" s="170"/>
      <c r="J169" s="170"/>
      <c r="K169" s="170"/>
      <c r="N169" s="1"/>
      <c r="O169" s="1"/>
      <c r="P169" s="1"/>
      <c r="Q169" s="1"/>
      <c r="R169" s="1"/>
      <c r="S169" s="1"/>
    </row>
    <row r="170" spans="1:19" s="62" customFormat="1">
      <c r="A170" s="1"/>
      <c r="B170" s="216" t="s">
        <v>50</v>
      </c>
      <c r="C170" s="133"/>
      <c r="D170" s="134"/>
      <c r="E170" s="133"/>
      <c r="F170" s="133"/>
      <c r="G170" s="134"/>
      <c r="H170" s="133"/>
      <c r="I170" s="137"/>
      <c r="J170" s="137"/>
      <c r="K170" s="137"/>
      <c r="N170" s="1"/>
      <c r="O170" s="1"/>
      <c r="P170" s="1"/>
      <c r="Q170" s="1"/>
      <c r="R170" s="1"/>
      <c r="S170" s="1"/>
    </row>
    <row r="171" spans="1:19" s="62" customFormat="1" ht="27.75" customHeight="1">
      <c r="A171" s="16"/>
      <c r="B171" s="171" t="s">
        <v>17</v>
      </c>
      <c r="C171" s="168"/>
      <c r="D171" s="140"/>
      <c r="E171" s="168"/>
      <c r="F171" s="168"/>
      <c r="G171" s="169"/>
      <c r="H171" s="168"/>
      <c r="I171" s="168"/>
      <c r="J171" s="168"/>
      <c r="K171" s="170"/>
      <c r="N171" s="1"/>
      <c r="O171" s="1"/>
      <c r="P171" s="1"/>
      <c r="Q171" s="1"/>
      <c r="R171" s="1"/>
      <c r="S171" s="1"/>
    </row>
    <row r="172" spans="1:19" s="62" customFormat="1" ht="27.75" customHeight="1">
      <c r="A172" s="1"/>
      <c r="B172" s="171" t="s">
        <v>18</v>
      </c>
      <c r="C172" s="168"/>
      <c r="D172" s="140"/>
      <c r="E172" s="168"/>
      <c r="F172" s="168"/>
      <c r="G172" s="169"/>
      <c r="H172" s="168"/>
      <c r="I172" s="168"/>
      <c r="J172" s="168"/>
      <c r="K172" s="170"/>
      <c r="N172" s="1"/>
      <c r="O172" s="1"/>
      <c r="P172" s="1"/>
      <c r="Q172" s="1"/>
      <c r="R172" s="1"/>
      <c r="S172" s="1"/>
    </row>
    <row r="173" spans="1:19" s="62" customFormat="1">
      <c r="A173" s="1"/>
      <c r="B173" s="167" t="s">
        <v>22</v>
      </c>
      <c r="C173" s="168"/>
      <c r="D173" s="140"/>
      <c r="E173" s="168"/>
      <c r="F173" s="168"/>
      <c r="G173" s="169"/>
      <c r="H173" s="168"/>
      <c r="I173" s="168"/>
      <c r="J173" s="168"/>
      <c r="K173" s="170"/>
      <c r="N173" s="1"/>
      <c r="O173" s="1"/>
      <c r="P173" s="1"/>
      <c r="Q173" s="1"/>
      <c r="R173" s="1"/>
      <c r="S173" s="1"/>
    </row>
    <row r="174" spans="1:19" s="62" customFormat="1">
      <c r="A174" s="1"/>
      <c r="B174" s="167" t="s">
        <v>51</v>
      </c>
      <c r="C174" s="168"/>
      <c r="D174" s="140"/>
      <c r="E174" s="168"/>
      <c r="F174" s="168"/>
      <c r="G174" s="169"/>
      <c r="H174" s="168"/>
      <c r="I174" s="168"/>
      <c r="J174" s="168"/>
      <c r="K174" s="170"/>
      <c r="N174" s="1"/>
      <c r="O174" s="1"/>
      <c r="P174" s="1"/>
      <c r="Q174" s="1"/>
      <c r="R174" s="1"/>
      <c r="S174" s="1"/>
    </row>
    <row r="175" spans="1:19" s="62" customFormat="1">
      <c r="A175" s="1"/>
      <c r="B175" s="171" t="s">
        <v>23</v>
      </c>
      <c r="C175" s="168"/>
      <c r="D175" s="140"/>
      <c r="E175" s="168"/>
      <c r="F175" s="168"/>
      <c r="G175" s="169"/>
      <c r="H175" s="168"/>
      <c r="I175" s="168"/>
      <c r="J175" s="168"/>
      <c r="K175" s="170"/>
      <c r="N175" s="1"/>
      <c r="O175" s="1"/>
      <c r="P175" s="1"/>
      <c r="Q175" s="1"/>
      <c r="R175" s="1"/>
      <c r="S175" s="1"/>
    </row>
    <row r="176" spans="1:19" s="62" customFormat="1">
      <c r="A176" s="1"/>
      <c r="B176" s="167" t="s">
        <v>20</v>
      </c>
      <c r="C176" s="168"/>
      <c r="D176" s="140"/>
      <c r="E176" s="168"/>
      <c r="F176" s="168"/>
      <c r="G176" s="169"/>
      <c r="H176" s="168"/>
      <c r="I176" s="168"/>
      <c r="J176" s="168"/>
      <c r="K176" s="170"/>
      <c r="N176" s="1"/>
      <c r="O176" s="1"/>
      <c r="P176" s="1"/>
      <c r="Q176" s="1"/>
      <c r="R176" s="1"/>
      <c r="S176" s="1"/>
    </row>
    <row r="177" spans="1:19" s="62" customFormat="1">
      <c r="A177" s="1"/>
      <c r="B177" s="167" t="s">
        <v>51</v>
      </c>
      <c r="C177" s="168"/>
      <c r="D177" s="140"/>
      <c r="E177" s="168"/>
      <c r="F177" s="168"/>
      <c r="G177" s="169"/>
      <c r="H177" s="168"/>
      <c r="I177" s="168"/>
      <c r="J177" s="168"/>
      <c r="K177" s="170"/>
      <c r="N177" s="1"/>
      <c r="O177" s="1"/>
      <c r="P177" s="1"/>
      <c r="Q177" s="1"/>
      <c r="R177" s="1"/>
      <c r="S177" s="1"/>
    </row>
    <row r="178" spans="1:19" s="62" customFormat="1">
      <c r="A178" s="1"/>
      <c r="B178" s="171" t="s">
        <v>23</v>
      </c>
      <c r="C178" s="168"/>
      <c r="D178" s="140"/>
      <c r="E178" s="168"/>
      <c r="F178" s="168"/>
      <c r="G178" s="169"/>
      <c r="H178" s="168"/>
      <c r="I178" s="168"/>
      <c r="J178" s="168"/>
      <c r="K178" s="170"/>
      <c r="N178" s="1"/>
      <c r="O178" s="1"/>
      <c r="P178" s="1"/>
      <c r="Q178" s="1"/>
      <c r="R178" s="1"/>
      <c r="S178" s="1"/>
    </row>
    <row r="179" spans="1:19" s="62" customFormat="1">
      <c r="A179" s="1"/>
      <c r="B179" s="216" t="s">
        <v>53</v>
      </c>
      <c r="C179" s="133"/>
      <c r="D179" s="134"/>
      <c r="E179" s="133"/>
      <c r="F179" s="133"/>
      <c r="G179" s="134"/>
      <c r="H179" s="133"/>
      <c r="I179" s="133"/>
      <c r="J179" s="133"/>
      <c r="K179" s="137"/>
      <c r="N179" s="1"/>
      <c r="O179" s="1"/>
      <c r="P179" s="1"/>
      <c r="Q179" s="1"/>
      <c r="R179" s="1"/>
      <c r="S179" s="1"/>
    </row>
    <row r="180" spans="1:19" s="62" customFormat="1">
      <c r="A180" s="1"/>
      <c r="B180" s="167" t="s">
        <v>52</v>
      </c>
      <c r="C180" s="168"/>
      <c r="D180" s="140"/>
      <c r="E180" s="168"/>
      <c r="F180" s="168"/>
      <c r="G180" s="169"/>
      <c r="H180" s="168"/>
      <c r="I180" s="168"/>
      <c r="J180" s="168"/>
      <c r="K180" s="170"/>
      <c r="N180" s="1"/>
      <c r="O180" s="1"/>
      <c r="P180" s="1"/>
      <c r="Q180" s="1"/>
      <c r="R180" s="1"/>
      <c r="S180" s="1"/>
    </row>
    <row r="181" spans="1:19" s="62" customFormat="1">
      <c r="A181" s="1"/>
      <c r="B181" s="167"/>
      <c r="C181" s="168"/>
      <c r="D181" s="140"/>
      <c r="E181" s="168"/>
      <c r="F181" s="168"/>
      <c r="G181" s="169"/>
      <c r="H181" s="168"/>
      <c r="I181" s="168"/>
      <c r="J181" s="168"/>
      <c r="K181" s="170"/>
      <c r="N181" s="1"/>
      <c r="O181" s="1"/>
      <c r="P181" s="1"/>
      <c r="Q181" s="1"/>
      <c r="R181" s="1"/>
      <c r="S181" s="1"/>
    </row>
    <row r="182" spans="1:19" s="62" customFormat="1">
      <c r="A182" s="1"/>
      <c r="B182" s="185" t="s">
        <v>56</v>
      </c>
      <c r="C182" s="145"/>
      <c r="D182" s="146"/>
      <c r="E182" s="145">
        <f>SUM(E183:E183)</f>
        <v>0</v>
      </c>
      <c r="F182" s="145"/>
      <c r="G182" s="146"/>
      <c r="H182" s="145">
        <f>SUM(H183:H183)</f>
        <v>0</v>
      </c>
      <c r="I182" s="149"/>
      <c r="J182" s="149"/>
      <c r="K182" s="149"/>
      <c r="N182" s="1"/>
      <c r="O182" s="1"/>
      <c r="P182" s="1"/>
      <c r="Q182" s="1"/>
      <c r="R182" s="1"/>
      <c r="S182" s="1"/>
    </row>
    <row r="183" spans="1:19" s="62" customFormat="1">
      <c r="A183" s="1"/>
      <c r="B183" s="167"/>
      <c r="C183" s="168"/>
      <c r="D183" s="140"/>
      <c r="E183" s="168"/>
      <c r="F183" s="168"/>
      <c r="G183" s="169"/>
      <c r="H183" s="168"/>
      <c r="I183" s="168"/>
      <c r="J183" s="168"/>
      <c r="K183" s="170"/>
      <c r="N183" s="1"/>
      <c r="O183" s="1"/>
      <c r="P183" s="1"/>
      <c r="Q183" s="1"/>
      <c r="R183" s="1"/>
      <c r="S183" s="1"/>
    </row>
    <row r="184" spans="1:19" s="62" customFormat="1">
      <c r="A184" s="1"/>
      <c r="B184" s="167"/>
      <c r="C184" s="168"/>
      <c r="D184" s="140"/>
      <c r="E184" s="168"/>
      <c r="F184" s="168"/>
      <c r="G184" s="169"/>
      <c r="H184" s="168"/>
      <c r="I184" s="168"/>
      <c r="J184" s="168"/>
      <c r="K184" s="170"/>
      <c r="N184" s="1"/>
      <c r="O184" s="1"/>
      <c r="P184" s="1"/>
      <c r="Q184" s="1"/>
      <c r="R184" s="1"/>
      <c r="S184" s="1"/>
    </row>
    <row r="185" spans="1:19" s="62" customFormat="1">
      <c r="A185" s="1"/>
      <c r="B185" s="156" t="s">
        <v>164</v>
      </c>
      <c r="C185" s="157"/>
      <c r="D185" s="158"/>
      <c r="E185" s="157">
        <f>+E186</f>
        <v>834.2287</v>
      </c>
      <c r="F185" s="157"/>
      <c r="G185" s="158"/>
      <c r="H185" s="157">
        <f>+H186</f>
        <v>1570.2283199999999</v>
      </c>
      <c r="I185" s="159">
        <f t="shared" si="6"/>
        <v>735.99961999999994</v>
      </c>
      <c r="J185" s="160">
        <f t="shared" ref="J185:J218" si="7">+I185*100/H185</f>
        <v>46.872140224805015</v>
      </c>
      <c r="K185" s="161"/>
      <c r="N185" s="1"/>
      <c r="O185" s="1"/>
      <c r="P185" s="1"/>
      <c r="Q185" s="1"/>
      <c r="R185" s="1"/>
      <c r="S185" s="1"/>
    </row>
    <row r="186" spans="1:19" s="62" customFormat="1" ht="37.5">
      <c r="A186" s="1"/>
      <c r="B186" s="248" t="s">
        <v>778</v>
      </c>
      <c r="C186" s="249"/>
      <c r="D186" s="250"/>
      <c r="E186" s="249">
        <f>+E187+E354</f>
        <v>834.2287</v>
      </c>
      <c r="F186" s="249"/>
      <c r="G186" s="250"/>
      <c r="H186" s="249">
        <f>+H187+H354</f>
        <v>1570.2283199999999</v>
      </c>
      <c r="I186" s="251">
        <f t="shared" si="6"/>
        <v>735.99961999999994</v>
      </c>
      <c r="J186" s="252">
        <f t="shared" si="7"/>
        <v>46.872140224805015</v>
      </c>
      <c r="K186" s="253"/>
      <c r="N186" s="1"/>
      <c r="O186" s="1"/>
      <c r="P186" s="1"/>
      <c r="Q186" s="1"/>
      <c r="R186" s="1"/>
      <c r="S186" s="1"/>
    </row>
    <row r="187" spans="1:19" s="62" customFormat="1">
      <c r="A187" s="1"/>
      <c r="B187" s="202" t="s">
        <v>779</v>
      </c>
      <c r="C187" s="172"/>
      <c r="D187" s="173"/>
      <c r="E187" s="139">
        <f>+E191+E315+E338+E347</f>
        <v>823.96119999999996</v>
      </c>
      <c r="F187" s="172"/>
      <c r="G187" s="173"/>
      <c r="H187" s="139">
        <f>+H191+H315+H338+H347</f>
        <v>1570.2283199999999</v>
      </c>
      <c r="I187" s="141">
        <f t="shared" ref="I187:I237" si="8">+H187-E187</f>
        <v>746.26711999999998</v>
      </c>
      <c r="J187" s="142">
        <f t="shared" si="7"/>
        <v>47.526026024037066</v>
      </c>
      <c r="K187" s="170"/>
      <c r="N187" s="1"/>
      <c r="O187" s="1"/>
      <c r="P187" s="1"/>
      <c r="Q187" s="1"/>
      <c r="R187" s="1"/>
      <c r="S187" s="1"/>
    </row>
    <row r="188" spans="1:19" s="62" customFormat="1">
      <c r="A188" s="1"/>
      <c r="B188" s="266" t="s">
        <v>24</v>
      </c>
      <c r="C188" s="168"/>
      <c r="D188" s="169"/>
      <c r="E188" s="172"/>
      <c r="F188" s="139"/>
      <c r="G188" s="140"/>
      <c r="H188" s="172"/>
      <c r="I188" s="141">
        <f t="shared" si="8"/>
        <v>0</v>
      </c>
      <c r="J188" s="142"/>
      <c r="K188" s="170"/>
      <c r="N188" s="1"/>
      <c r="O188" s="1"/>
      <c r="P188" s="1"/>
      <c r="Q188" s="1"/>
      <c r="R188" s="1"/>
      <c r="S188" s="1"/>
    </row>
    <row r="189" spans="1:19" s="62" customFormat="1" ht="32.25">
      <c r="A189" s="1"/>
      <c r="B189" s="231" t="s">
        <v>68</v>
      </c>
      <c r="C189" s="267" t="s">
        <v>25</v>
      </c>
      <c r="D189" s="268"/>
      <c r="E189" s="267" t="s">
        <v>58</v>
      </c>
      <c r="F189" s="267"/>
      <c r="G189" s="268" t="s">
        <v>26</v>
      </c>
      <c r="H189" s="267"/>
      <c r="I189" s="141"/>
      <c r="J189" s="142"/>
      <c r="K189" s="269"/>
      <c r="N189" s="1"/>
      <c r="O189" s="1"/>
      <c r="P189" s="1"/>
      <c r="Q189" s="1"/>
      <c r="R189" s="1"/>
      <c r="S189" s="1"/>
    </row>
    <row r="190" spans="1:19" s="62" customFormat="1" ht="32.25">
      <c r="A190" s="1"/>
      <c r="B190" s="231"/>
      <c r="C190" s="267" t="s">
        <v>60</v>
      </c>
      <c r="D190" s="268"/>
      <c r="E190" s="267" t="s">
        <v>62</v>
      </c>
      <c r="F190" s="267"/>
      <c r="G190" s="268" t="s">
        <v>61</v>
      </c>
      <c r="H190" s="267"/>
      <c r="I190" s="141"/>
      <c r="J190" s="142"/>
      <c r="K190" s="269"/>
      <c r="N190" s="1"/>
      <c r="O190" s="1"/>
      <c r="P190" s="1"/>
      <c r="Q190" s="1"/>
      <c r="R190" s="1"/>
      <c r="S190" s="1"/>
    </row>
    <row r="191" spans="1:19" s="62" customFormat="1">
      <c r="A191" s="1"/>
      <c r="B191" s="177" t="s">
        <v>38</v>
      </c>
      <c r="C191" s="121"/>
      <c r="D191" s="122"/>
      <c r="E191" s="121">
        <f>+E192+E309</f>
        <v>147.4641</v>
      </c>
      <c r="F191" s="121"/>
      <c r="G191" s="122"/>
      <c r="H191" s="121">
        <f>+H192+H309</f>
        <v>211.66832000000002</v>
      </c>
      <c r="I191" s="123">
        <f t="shared" si="8"/>
        <v>64.204220000000021</v>
      </c>
      <c r="J191" s="124">
        <f t="shared" si="7"/>
        <v>30.332465434600707</v>
      </c>
      <c r="K191" s="125"/>
      <c r="N191" s="1"/>
      <c r="O191" s="1"/>
      <c r="P191" s="1"/>
      <c r="Q191" s="1"/>
      <c r="R191" s="1"/>
      <c r="S191" s="1"/>
    </row>
    <row r="192" spans="1:19" s="62" customFormat="1">
      <c r="A192" s="1"/>
      <c r="B192" s="179" t="s">
        <v>41</v>
      </c>
      <c r="C192" s="180"/>
      <c r="D192" s="181"/>
      <c r="E192" s="180">
        <f>+E193+E203+E298</f>
        <v>147.4641</v>
      </c>
      <c r="F192" s="180"/>
      <c r="G192" s="181"/>
      <c r="H192" s="180">
        <f>+H193+H203+H298</f>
        <v>211.66832000000002</v>
      </c>
      <c r="I192" s="182">
        <f t="shared" si="8"/>
        <v>64.204220000000021</v>
      </c>
      <c r="J192" s="183">
        <f t="shared" si="7"/>
        <v>30.332465434600707</v>
      </c>
      <c r="K192" s="184"/>
      <c r="N192" s="1"/>
      <c r="O192" s="1"/>
      <c r="P192" s="1"/>
      <c r="Q192" s="1"/>
      <c r="R192" s="1"/>
      <c r="S192" s="1"/>
    </row>
    <row r="193" spans="1:19" s="62" customFormat="1">
      <c r="A193" s="1"/>
      <c r="B193" s="216" t="s">
        <v>42</v>
      </c>
      <c r="C193" s="133"/>
      <c r="D193" s="134"/>
      <c r="E193" s="133">
        <f>SUM(E196:E196)</f>
        <v>4</v>
      </c>
      <c r="F193" s="133"/>
      <c r="G193" s="134"/>
      <c r="H193" s="133">
        <f>SUM(H194:H202)</f>
        <v>6.9773200000000006</v>
      </c>
      <c r="I193" s="135">
        <f t="shared" si="8"/>
        <v>2.9773200000000006</v>
      </c>
      <c r="J193" s="136">
        <f t="shared" si="7"/>
        <v>42.671398187269617</v>
      </c>
      <c r="K193" s="137"/>
      <c r="N193" s="1"/>
      <c r="O193" s="1"/>
      <c r="P193" s="1"/>
      <c r="Q193" s="1"/>
      <c r="R193" s="1"/>
      <c r="S193" s="1"/>
    </row>
    <row r="194" spans="1:19" s="62" customFormat="1" ht="93.75">
      <c r="A194" s="1"/>
      <c r="B194" s="171" t="s">
        <v>780</v>
      </c>
      <c r="C194" s="168"/>
      <c r="D194" s="140"/>
      <c r="E194" s="168"/>
      <c r="F194" s="168"/>
      <c r="G194" s="169"/>
      <c r="H194" s="139">
        <f>0.3+0.00132</f>
        <v>0.30131999999999998</v>
      </c>
      <c r="I194" s="141">
        <f t="shared" si="8"/>
        <v>0.30131999999999998</v>
      </c>
      <c r="J194" s="142">
        <f t="shared" si="7"/>
        <v>100</v>
      </c>
      <c r="K194" s="167" t="s">
        <v>781</v>
      </c>
      <c r="N194" s="1"/>
      <c r="O194" s="1"/>
      <c r="P194" s="1"/>
      <c r="Q194" s="1"/>
      <c r="R194" s="1"/>
      <c r="S194" s="1"/>
    </row>
    <row r="195" spans="1:19" s="62" customFormat="1" ht="93.75">
      <c r="A195" s="1"/>
      <c r="B195" s="171"/>
      <c r="C195" s="168"/>
      <c r="D195" s="140"/>
      <c r="E195" s="168"/>
      <c r="F195" s="168"/>
      <c r="G195" s="169"/>
      <c r="H195" s="139"/>
      <c r="I195" s="141"/>
      <c r="J195" s="142"/>
      <c r="K195" s="167" t="s">
        <v>782</v>
      </c>
      <c r="N195" s="1"/>
      <c r="O195" s="1"/>
      <c r="P195" s="1"/>
      <c r="Q195" s="1"/>
      <c r="R195" s="1"/>
      <c r="S195" s="1"/>
    </row>
    <row r="196" spans="1:19" s="62" customFormat="1" ht="56.25">
      <c r="A196" s="1"/>
      <c r="B196" s="171" t="s">
        <v>272</v>
      </c>
      <c r="C196" s="168"/>
      <c r="D196" s="140"/>
      <c r="E196" s="168">
        <v>4</v>
      </c>
      <c r="F196" s="168"/>
      <c r="G196" s="169"/>
      <c r="H196" s="139">
        <v>0.18</v>
      </c>
      <c r="I196" s="141">
        <f t="shared" si="8"/>
        <v>-3.82</v>
      </c>
      <c r="J196" s="142">
        <f t="shared" si="7"/>
        <v>-2122.2222222222222</v>
      </c>
      <c r="K196" s="167" t="s">
        <v>783</v>
      </c>
      <c r="N196" s="1"/>
      <c r="O196" s="1"/>
      <c r="P196" s="1"/>
      <c r="Q196" s="1"/>
      <c r="R196" s="1"/>
      <c r="S196" s="1"/>
    </row>
    <row r="197" spans="1:19" s="62" customFormat="1" ht="37.5">
      <c r="A197" s="1"/>
      <c r="B197" s="171" t="s">
        <v>275</v>
      </c>
      <c r="C197" s="168"/>
      <c r="D197" s="140"/>
      <c r="E197" s="168"/>
      <c r="F197" s="168"/>
      <c r="G197" s="169"/>
      <c r="H197" s="139">
        <f>6.367+0.129</f>
        <v>6.4960000000000004</v>
      </c>
      <c r="I197" s="141">
        <f t="shared" si="8"/>
        <v>6.4960000000000004</v>
      </c>
      <c r="J197" s="142">
        <f t="shared" si="7"/>
        <v>100</v>
      </c>
      <c r="K197" s="167" t="s">
        <v>784</v>
      </c>
      <c r="N197" s="1"/>
      <c r="O197" s="1"/>
      <c r="P197" s="1"/>
      <c r="Q197" s="1"/>
      <c r="R197" s="1"/>
      <c r="S197" s="1"/>
    </row>
    <row r="198" spans="1:19" s="62" customFormat="1" ht="56.25">
      <c r="A198" s="1"/>
      <c r="B198" s="171"/>
      <c r="C198" s="168"/>
      <c r="D198" s="140"/>
      <c r="E198" s="168"/>
      <c r="F198" s="168"/>
      <c r="G198" s="169"/>
      <c r="H198" s="139"/>
      <c r="I198" s="141"/>
      <c r="J198" s="142"/>
      <c r="K198" s="167" t="s">
        <v>785</v>
      </c>
      <c r="N198" s="1"/>
      <c r="O198" s="1"/>
      <c r="P198" s="1"/>
      <c r="Q198" s="1"/>
      <c r="R198" s="1"/>
      <c r="S198" s="1"/>
    </row>
    <row r="199" spans="1:19" s="62" customFormat="1" ht="56.25">
      <c r="A199" s="1"/>
      <c r="B199" s="171"/>
      <c r="C199" s="168"/>
      <c r="D199" s="140"/>
      <c r="E199" s="168"/>
      <c r="F199" s="168"/>
      <c r="G199" s="169"/>
      <c r="H199" s="139"/>
      <c r="I199" s="141"/>
      <c r="J199" s="142"/>
      <c r="K199" s="167" t="s">
        <v>786</v>
      </c>
      <c r="N199" s="1"/>
      <c r="O199" s="1"/>
      <c r="P199" s="1"/>
      <c r="Q199" s="1"/>
      <c r="R199" s="1"/>
      <c r="S199" s="1"/>
    </row>
    <row r="200" spans="1:19" s="62" customFormat="1" ht="37.5">
      <c r="A200" s="1"/>
      <c r="B200" s="171"/>
      <c r="C200" s="168"/>
      <c r="D200" s="140"/>
      <c r="E200" s="168"/>
      <c r="F200" s="168"/>
      <c r="G200" s="169"/>
      <c r="H200" s="139"/>
      <c r="I200" s="141"/>
      <c r="J200" s="142"/>
      <c r="K200" s="167" t="s">
        <v>787</v>
      </c>
      <c r="N200" s="1"/>
      <c r="O200" s="1"/>
      <c r="P200" s="1"/>
      <c r="Q200" s="1"/>
      <c r="R200" s="1"/>
      <c r="S200" s="1"/>
    </row>
    <row r="201" spans="1:19" s="62" customFormat="1" ht="37.5">
      <c r="A201" s="1"/>
      <c r="B201" s="171"/>
      <c r="C201" s="168"/>
      <c r="D201" s="140"/>
      <c r="E201" s="168"/>
      <c r="F201" s="168"/>
      <c r="G201" s="169"/>
      <c r="H201" s="139"/>
      <c r="I201" s="141"/>
      <c r="J201" s="142"/>
      <c r="K201" s="167" t="s">
        <v>788</v>
      </c>
      <c r="N201" s="1"/>
      <c r="O201" s="1"/>
      <c r="P201" s="1"/>
      <c r="Q201" s="1"/>
      <c r="R201" s="1"/>
      <c r="S201" s="1"/>
    </row>
    <row r="202" spans="1:19" s="62" customFormat="1">
      <c r="A202" s="1"/>
      <c r="B202" s="171"/>
      <c r="C202" s="168"/>
      <c r="D202" s="140"/>
      <c r="E202" s="168"/>
      <c r="F202" s="168"/>
      <c r="G202" s="169"/>
      <c r="H202" s="139"/>
      <c r="I202" s="141"/>
      <c r="J202" s="142"/>
      <c r="K202" s="170"/>
      <c r="N202" s="1"/>
      <c r="O202" s="1"/>
      <c r="P202" s="1"/>
      <c r="Q202" s="1"/>
      <c r="R202" s="1"/>
      <c r="S202" s="1"/>
    </row>
    <row r="203" spans="1:19" s="62" customFormat="1">
      <c r="A203" s="1"/>
      <c r="B203" s="216" t="s">
        <v>43</v>
      </c>
      <c r="C203" s="133"/>
      <c r="D203" s="134"/>
      <c r="E203" s="133">
        <f>SUM(E205:E286)</f>
        <v>127.60140000000001</v>
      </c>
      <c r="F203" s="133"/>
      <c r="G203" s="134"/>
      <c r="H203" s="133">
        <f>SUM(H205:H286)</f>
        <v>200.52885000000003</v>
      </c>
      <c r="I203" s="135">
        <f t="shared" si="8"/>
        <v>72.927450000000022</v>
      </c>
      <c r="J203" s="136">
        <f t="shared" si="7"/>
        <v>36.367560079260421</v>
      </c>
      <c r="K203" s="137"/>
      <c r="N203" s="1"/>
      <c r="O203" s="1"/>
      <c r="P203" s="1"/>
      <c r="Q203" s="1"/>
      <c r="R203" s="1"/>
      <c r="S203" s="1"/>
    </row>
    <row r="204" spans="1:19" s="62" customFormat="1">
      <c r="A204" s="1"/>
      <c r="B204" s="167" t="s">
        <v>19</v>
      </c>
      <c r="C204" s="168"/>
      <c r="D204" s="140"/>
      <c r="E204" s="168"/>
      <c r="F204" s="168"/>
      <c r="G204" s="169"/>
      <c r="H204" s="168"/>
      <c r="I204" s="168"/>
      <c r="J204" s="168"/>
      <c r="K204" s="170"/>
      <c r="N204" s="1"/>
      <c r="O204" s="1"/>
      <c r="P204" s="1"/>
      <c r="Q204" s="1"/>
      <c r="R204" s="1"/>
      <c r="S204" s="1"/>
    </row>
    <row r="205" spans="1:19" s="62" customFormat="1" ht="56.25">
      <c r="A205" s="1"/>
      <c r="B205" s="171" t="s">
        <v>85</v>
      </c>
      <c r="C205" s="168"/>
      <c r="D205" s="140"/>
      <c r="E205" s="168">
        <v>1.9114</v>
      </c>
      <c r="F205" s="168"/>
      <c r="G205" s="169"/>
      <c r="H205" s="139">
        <f>0.3008+1.1039+0.1322+0.5+2.8616</f>
        <v>4.8985000000000003</v>
      </c>
      <c r="I205" s="141">
        <f t="shared" si="8"/>
        <v>2.9871000000000003</v>
      </c>
      <c r="J205" s="142">
        <f t="shared" si="7"/>
        <v>60.979891803613356</v>
      </c>
      <c r="K205" s="167" t="s">
        <v>789</v>
      </c>
      <c r="N205" s="1"/>
      <c r="O205" s="1"/>
      <c r="P205" s="1"/>
      <c r="Q205" s="1"/>
      <c r="R205" s="1"/>
      <c r="S205" s="1"/>
    </row>
    <row r="206" spans="1:19" s="62" customFormat="1">
      <c r="A206" s="1"/>
      <c r="B206" s="171"/>
      <c r="C206" s="168"/>
      <c r="D206" s="140"/>
      <c r="E206" s="168"/>
      <c r="F206" s="168"/>
      <c r="G206" s="169"/>
      <c r="H206" s="139"/>
      <c r="I206" s="141"/>
      <c r="J206" s="142"/>
      <c r="K206" s="170" t="s">
        <v>790</v>
      </c>
      <c r="N206" s="1"/>
      <c r="O206" s="1"/>
      <c r="P206" s="1"/>
      <c r="Q206" s="1"/>
      <c r="R206" s="1"/>
      <c r="S206" s="1"/>
    </row>
    <row r="207" spans="1:19" s="62" customFormat="1">
      <c r="A207" s="1"/>
      <c r="B207" s="171"/>
      <c r="C207" s="168"/>
      <c r="D207" s="140"/>
      <c r="E207" s="168"/>
      <c r="F207" s="168"/>
      <c r="G207" s="169"/>
      <c r="H207" s="139"/>
      <c r="I207" s="141"/>
      <c r="J207" s="142"/>
      <c r="K207" s="170" t="s">
        <v>791</v>
      </c>
      <c r="N207" s="1"/>
      <c r="O207" s="1"/>
      <c r="P207" s="1"/>
      <c r="Q207" s="1"/>
      <c r="R207" s="1"/>
      <c r="S207" s="1"/>
    </row>
    <row r="208" spans="1:19" s="62" customFormat="1">
      <c r="A208" s="1"/>
      <c r="B208" s="171"/>
      <c r="C208" s="168"/>
      <c r="D208" s="140"/>
      <c r="E208" s="168"/>
      <c r="F208" s="168"/>
      <c r="G208" s="169"/>
      <c r="H208" s="139"/>
      <c r="I208" s="141"/>
      <c r="J208" s="142"/>
      <c r="K208" s="170" t="s">
        <v>792</v>
      </c>
      <c r="N208" s="1"/>
      <c r="O208" s="1"/>
      <c r="P208" s="1"/>
      <c r="Q208" s="1"/>
      <c r="R208" s="1"/>
      <c r="S208" s="1"/>
    </row>
    <row r="209" spans="1:19" s="62" customFormat="1" ht="56.25">
      <c r="A209" s="1"/>
      <c r="B209" s="171"/>
      <c r="C209" s="168"/>
      <c r="D209" s="140"/>
      <c r="E209" s="168"/>
      <c r="F209" s="168"/>
      <c r="G209" s="169"/>
      <c r="H209" s="139"/>
      <c r="I209" s="141"/>
      <c r="J209" s="142"/>
      <c r="K209" s="167" t="s">
        <v>793</v>
      </c>
      <c r="N209" s="1"/>
      <c r="O209" s="1"/>
      <c r="P209" s="1"/>
      <c r="Q209" s="1"/>
      <c r="R209" s="1"/>
      <c r="S209" s="1"/>
    </row>
    <row r="210" spans="1:19" s="62" customFormat="1" ht="56.25">
      <c r="A210" s="1"/>
      <c r="B210" s="171"/>
      <c r="C210" s="168"/>
      <c r="D210" s="140"/>
      <c r="E210" s="168"/>
      <c r="F210" s="168"/>
      <c r="G210" s="169"/>
      <c r="H210" s="139"/>
      <c r="I210" s="141"/>
      <c r="J210" s="142"/>
      <c r="K210" s="167" t="s">
        <v>794</v>
      </c>
      <c r="N210" s="1"/>
      <c r="O210" s="1"/>
      <c r="P210" s="1"/>
      <c r="Q210" s="1"/>
      <c r="R210" s="1"/>
      <c r="S210" s="1"/>
    </row>
    <row r="211" spans="1:19" s="62" customFormat="1">
      <c r="A211" s="1"/>
      <c r="B211" s="171"/>
      <c r="C211" s="168"/>
      <c r="D211" s="140"/>
      <c r="E211" s="168"/>
      <c r="F211" s="168"/>
      <c r="G211" s="169"/>
      <c r="H211" s="139"/>
      <c r="I211" s="141"/>
      <c r="J211" s="142"/>
      <c r="K211" s="170" t="s">
        <v>795</v>
      </c>
      <c r="N211" s="1"/>
      <c r="O211" s="1"/>
      <c r="P211" s="1"/>
      <c r="Q211" s="1"/>
      <c r="R211" s="1"/>
      <c r="S211" s="1"/>
    </row>
    <row r="212" spans="1:19" s="62" customFormat="1">
      <c r="A212" s="1"/>
      <c r="B212" s="171"/>
      <c r="C212" s="168"/>
      <c r="D212" s="140"/>
      <c r="E212" s="168"/>
      <c r="F212" s="168"/>
      <c r="G212" s="169"/>
      <c r="H212" s="139"/>
      <c r="I212" s="141"/>
      <c r="J212" s="142"/>
      <c r="K212" s="170" t="s">
        <v>796</v>
      </c>
      <c r="N212" s="1"/>
      <c r="O212" s="1"/>
      <c r="P212" s="1"/>
      <c r="Q212" s="1"/>
      <c r="R212" s="1"/>
      <c r="S212" s="1"/>
    </row>
    <row r="213" spans="1:19" s="62" customFormat="1">
      <c r="A213" s="1"/>
      <c r="B213" s="171"/>
      <c r="C213" s="168"/>
      <c r="D213" s="140"/>
      <c r="E213" s="168"/>
      <c r="F213" s="168"/>
      <c r="G213" s="169"/>
      <c r="H213" s="139"/>
      <c r="I213" s="141"/>
      <c r="J213" s="142"/>
      <c r="K213" s="170" t="s">
        <v>797</v>
      </c>
      <c r="N213" s="1"/>
      <c r="O213" s="1"/>
      <c r="P213" s="1"/>
      <c r="Q213" s="1"/>
      <c r="R213" s="1"/>
      <c r="S213" s="1"/>
    </row>
    <row r="214" spans="1:19" s="62" customFormat="1">
      <c r="A214" s="1"/>
      <c r="B214" s="171"/>
      <c r="C214" s="168"/>
      <c r="D214" s="140"/>
      <c r="E214" s="168"/>
      <c r="F214" s="168"/>
      <c r="G214" s="169"/>
      <c r="H214" s="139"/>
      <c r="I214" s="141"/>
      <c r="J214" s="142"/>
      <c r="K214" s="170" t="s">
        <v>798</v>
      </c>
      <c r="N214" s="1"/>
      <c r="O214" s="1"/>
      <c r="P214" s="1"/>
      <c r="Q214" s="1"/>
      <c r="R214" s="1"/>
      <c r="S214" s="1"/>
    </row>
    <row r="215" spans="1:19" s="62" customFormat="1" ht="56.25">
      <c r="A215" s="1"/>
      <c r="B215" s="171"/>
      <c r="C215" s="168"/>
      <c r="D215" s="140"/>
      <c r="E215" s="168"/>
      <c r="F215" s="168"/>
      <c r="G215" s="169"/>
      <c r="H215" s="139"/>
      <c r="I215" s="141"/>
      <c r="J215" s="142"/>
      <c r="K215" s="167" t="s">
        <v>799</v>
      </c>
      <c r="N215" s="1"/>
      <c r="O215" s="1"/>
      <c r="P215" s="1"/>
      <c r="Q215" s="1"/>
      <c r="R215" s="1"/>
      <c r="S215" s="1"/>
    </row>
    <row r="216" spans="1:19" s="62" customFormat="1" ht="56.25">
      <c r="A216" s="1"/>
      <c r="B216" s="171"/>
      <c r="C216" s="168"/>
      <c r="D216" s="140"/>
      <c r="E216" s="168"/>
      <c r="F216" s="168"/>
      <c r="G216" s="169"/>
      <c r="H216" s="139"/>
      <c r="I216" s="141"/>
      <c r="J216" s="142"/>
      <c r="K216" s="167" t="s">
        <v>800</v>
      </c>
      <c r="N216" s="1"/>
      <c r="O216" s="1"/>
      <c r="P216" s="1"/>
      <c r="Q216" s="1"/>
      <c r="R216" s="1"/>
      <c r="S216" s="1"/>
    </row>
    <row r="217" spans="1:19" s="62" customFormat="1" ht="93.75">
      <c r="A217" s="1"/>
      <c r="B217" s="171" t="s">
        <v>801</v>
      </c>
      <c r="C217" s="168"/>
      <c r="D217" s="140"/>
      <c r="E217" s="168"/>
      <c r="F217" s="168"/>
      <c r="G217" s="169"/>
      <c r="H217" s="139">
        <v>3</v>
      </c>
      <c r="I217" s="141">
        <f t="shared" si="8"/>
        <v>3</v>
      </c>
      <c r="J217" s="142">
        <f t="shared" si="7"/>
        <v>100</v>
      </c>
      <c r="K217" s="167" t="s">
        <v>802</v>
      </c>
      <c r="N217" s="1"/>
      <c r="O217" s="1"/>
      <c r="P217" s="1"/>
      <c r="Q217" s="1"/>
      <c r="R217" s="1"/>
      <c r="S217" s="1"/>
    </row>
    <row r="218" spans="1:19" s="62" customFormat="1" ht="37.5">
      <c r="A218" s="1"/>
      <c r="B218" s="171" t="s">
        <v>803</v>
      </c>
      <c r="C218" s="168"/>
      <c r="D218" s="140"/>
      <c r="E218" s="168">
        <v>33.700000000000003</v>
      </c>
      <c r="F218" s="168"/>
      <c r="G218" s="169"/>
      <c r="H218" s="139">
        <f>3.4868+10.2325+0.0432+6.0587+11.3</f>
        <v>31.121200000000002</v>
      </c>
      <c r="I218" s="141">
        <f t="shared" si="8"/>
        <v>-2.5788000000000011</v>
      </c>
      <c r="J218" s="142">
        <f t="shared" si="7"/>
        <v>-8.2863128671130966</v>
      </c>
      <c r="K218" s="167" t="s">
        <v>804</v>
      </c>
      <c r="N218" s="1"/>
      <c r="O218" s="1"/>
      <c r="P218" s="1"/>
      <c r="Q218" s="1"/>
      <c r="R218" s="1"/>
      <c r="S218" s="1"/>
    </row>
    <row r="219" spans="1:19" s="62" customFormat="1">
      <c r="A219" s="1"/>
      <c r="B219" s="171"/>
      <c r="C219" s="168"/>
      <c r="D219" s="140"/>
      <c r="E219" s="168"/>
      <c r="F219" s="168"/>
      <c r="G219" s="169"/>
      <c r="H219" s="139"/>
      <c r="I219" s="141"/>
      <c r="J219" s="142"/>
      <c r="K219" s="170" t="s">
        <v>805</v>
      </c>
      <c r="N219" s="1"/>
      <c r="O219" s="1"/>
      <c r="P219" s="1"/>
      <c r="Q219" s="1"/>
      <c r="R219" s="1"/>
      <c r="S219" s="1"/>
    </row>
    <row r="220" spans="1:19" s="62" customFormat="1" ht="37.5">
      <c r="A220" s="1"/>
      <c r="B220" s="171"/>
      <c r="C220" s="168"/>
      <c r="D220" s="140"/>
      <c r="E220" s="168"/>
      <c r="F220" s="168"/>
      <c r="G220" s="169"/>
      <c r="H220" s="139"/>
      <c r="I220" s="141"/>
      <c r="J220" s="142"/>
      <c r="K220" s="167" t="s">
        <v>806</v>
      </c>
      <c r="N220" s="1"/>
      <c r="O220" s="1"/>
      <c r="P220" s="1"/>
      <c r="Q220" s="1"/>
      <c r="R220" s="1"/>
      <c r="S220" s="1"/>
    </row>
    <row r="221" spans="1:19" s="62" customFormat="1" ht="37.5">
      <c r="A221" s="1"/>
      <c r="B221" s="171"/>
      <c r="C221" s="168"/>
      <c r="D221" s="140"/>
      <c r="E221" s="168"/>
      <c r="F221" s="168"/>
      <c r="G221" s="169"/>
      <c r="H221" s="139"/>
      <c r="I221" s="141"/>
      <c r="J221" s="142"/>
      <c r="K221" s="167" t="s">
        <v>807</v>
      </c>
      <c r="N221" s="1"/>
      <c r="O221" s="1"/>
      <c r="P221" s="1"/>
      <c r="Q221" s="1"/>
      <c r="R221" s="1"/>
      <c r="S221" s="1"/>
    </row>
    <row r="222" spans="1:19" s="62" customFormat="1" ht="37.5">
      <c r="A222" s="1"/>
      <c r="B222" s="171"/>
      <c r="C222" s="168"/>
      <c r="D222" s="140"/>
      <c r="E222" s="168"/>
      <c r="F222" s="168"/>
      <c r="G222" s="169"/>
      <c r="H222" s="139"/>
      <c r="I222" s="141"/>
      <c r="J222" s="142"/>
      <c r="K222" s="167" t="s">
        <v>808</v>
      </c>
      <c r="N222" s="1"/>
      <c r="O222" s="1"/>
      <c r="P222" s="1"/>
      <c r="Q222" s="1"/>
      <c r="R222" s="1"/>
      <c r="S222" s="1"/>
    </row>
    <row r="223" spans="1:19" s="62" customFormat="1" ht="56.25">
      <c r="A223" s="1"/>
      <c r="B223" s="171"/>
      <c r="C223" s="168"/>
      <c r="D223" s="140"/>
      <c r="E223" s="168"/>
      <c r="F223" s="168"/>
      <c r="G223" s="169"/>
      <c r="H223" s="139"/>
      <c r="I223" s="141"/>
      <c r="J223" s="142"/>
      <c r="K223" s="167" t="s">
        <v>809</v>
      </c>
      <c r="N223" s="1"/>
      <c r="O223" s="1"/>
      <c r="P223" s="1"/>
      <c r="Q223" s="1"/>
      <c r="R223" s="1"/>
      <c r="S223" s="1"/>
    </row>
    <row r="224" spans="1:19" s="62" customFormat="1" ht="56.25">
      <c r="A224" s="1"/>
      <c r="B224" s="171"/>
      <c r="C224" s="168"/>
      <c r="D224" s="140"/>
      <c r="E224" s="168"/>
      <c r="F224" s="168"/>
      <c r="G224" s="169"/>
      <c r="H224" s="139"/>
      <c r="I224" s="141"/>
      <c r="J224" s="142"/>
      <c r="K224" s="167" t="s">
        <v>810</v>
      </c>
      <c r="N224" s="1"/>
      <c r="O224" s="1"/>
      <c r="P224" s="1"/>
      <c r="Q224" s="1"/>
      <c r="R224" s="1"/>
      <c r="S224" s="1"/>
    </row>
    <row r="225" spans="1:19" s="62" customFormat="1" ht="37.5">
      <c r="A225" s="1"/>
      <c r="B225" s="171"/>
      <c r="C225" s="168"/>
      <c r="D225" s="140"/>
      <c r="E225" s="168"/>
      <c r="F225" s="168"/>
      <c r="G225" s="169"/>
      <c r="H225" s="139"/>
      <c r="I225" s="141"/>
      <c r="J225" s="142"/>
      <c r="K225" s="167" t="s">
        <v>811</v>
      </c>
      <c r="N225" s="1"/>
      <c r="O225" s="1"/>
      <c r="P225" s="1"/>
      <c r="Q225" s="1"/>
      <c r="R225" s="1"/>
      <c r="S225" s="1"/>
    </row>
    <row r="226" spans="1:19" s="62" customFormat="1" ht="37.5">
      <c r="A226" s="1"/>
      <c r="B226" s="171"/>
      <c r="C226" s="168"/>
      <c r="D226" s="140"/>
      <c r="E226" s="168"/>
      <c r="F226" s="168"/>
      <c r="G226" s="169"/>
      <c r="H226" s="139"/>
      <c r="I226" s="141"/>
      <c r="J226" s="142"/>
      <c r="K226" s="167" t="s">
        <v>812</v>
      </c>
      <c r="N226" s="1"/>
      <c r="O226" s="1"/>
      <c r="P226" s="1"/>
      <c r="Q226" s="1"/>
      <c r="R226" s="1"/>
      <c r="S226" s="1"/>
    </row>
    <row r="227" spans="1:19" s="62" customFormat="1" ht="37.5">
      <c r="A227" s="1"/>
      <c r="B227" s="171"/>
      <c r="C227" s="168"/>
      <c r="D227" s="140"/>
      <c r="E227" s="168"/>
      <c r="F227" s="168"/>
      <c r="G227" s="169"/>
      <c r="H227" s="139"/>
      <c r="I227" s="141"/>
      <c r="J227" s="142"/>
      <c r="K227" s="167" t="s">
        <v>813</v>
      </c>
      <c r="N227" s="1"/>
      <c r="O227" s="1"/>
      <c r="P227" s="1"/>
      <c r="Q227" s="1"/>
      <c r="R227" s="1"/>
      <c r="S227" s="1"/>
    </row>
    <row r="228" spans="1:19" s="62" customFormat="1" ht="37.5">
      <c r="A228" s="1"/>
      <c r="B228" s="171"/>
      <c r="C228" s="168"/>
      <c r="D228" s="140"/>
      <c r="E228" s="168"/>
      <c r="F228" s="168"/>
      <c r="G228" s="169"/>
      <c r="H228" s="139"/>
      <c r="I228" s="141"/>
      <c r="J228" s="142"/>
      <c r="K228" s="167" t="s">
        <v>814</v>
      </c>
      <c r="N228" s="1"/>
      <c r="O228" s="1"/>
      <c r="P228" s="1"/>
      <c r="Q228" s="1"/>
      <c r="R228" s="1"/>
      <c r="S228" s="1"/>
    </row>
    <row r="229" spans="1:19" s="62" customFormat="1" ht="37.5">
      <c r="A229" s="1"/>
      <c r="B229" s="171"/>
      <c r="C229" s="168"/>
      <c r="D229" s="140"/>
      <c r="E229" s="168"/>
      <c r="F229" s="168"/>
      <c r="G229" s="169"/>
      <c r="H229" s="139"/>
      <c r="I229" s="141"/>
      <c r="J229" s="142"/>
      <c r="K229" s="167" t="s">
        <v>815</v>
      </c>
      <c r="N229" s="1"/>
      <c r="O229" s="1"/>
      <c r="P229" s="1"/>
      <c r="Q229" s="1"/>
      <c r="R229" s="1"/>
      <c r="S229" s="1"/>
    </row>
    <row r="230" spans="1:19" s="62" customFormat="1" ht="37.5">
      <c r="A230" s="1"/>
      <c r="B230" s="171"/>
      <c r="C230" s="168"/>
      <c r="D230" s="140"/>
      <c r="E230" s="168"/>
      <c r="F230" s="168"/>
      <c r="G230" s="169"/>
      <c r="H230" s="139"/>
      <c r="I230" s="141"/>
      <c r="J230" s="142"/>
      <c r="K230" s="167" t="s">
        <v>816</v>
      </c>
      <c r="N230" s="1"/>
      <c r="O230" s="1"/>
      <c r="P230" s="1"/>
      <c r="Q230" s="1"/>
      <c r="R230" s="1"/>
      <c r="S230" s="1"/>
    </row>
    <row r="231" spans="1:19" s="62" customFormat="1" ht="37.5">
      <c r="A231" s="1"/>
      <c r="B231" s="171"/>
      <c r="C231" s="168"/>
      <c r="D231" s="140"/>
      <c r="E231" s="168"/>
      <c r="F231" s="168"/>
      <c r="G231" s="169"/>
      <c r="H231" s="139"/>
      <c r="I231" s="141"/>
      <c r="J231" s="142"/>
      <c r="K231" s="167" t="s">
        <v>817</v>
      </c>
      <c r="N231" s="1"/>
      <c r="O231" s="1"/>
      <c r="P231" s="1"/>
      <c r="Q231" s="1"/>
      <c r="R231" s="1"/>
      <c r="S231" s="1"/>
    </row>
    <row r="232" spans="1:19" s="62" customFormat="1" ht="37.5">
      <c r="A232" s="1"/>
      <c r="B232" s="171"/>
      <c r="C232" s="168"/>
      <c r="D232" s="140"/>
      <c r="E232" s="168"/>
      <c r="F232" s="168"/>
      <c r="G232" s="169"/>
      <c r="H232" s="139"/>
      <c r="I232" s="141"/>
      <c r="J232" s="142"/>
      <c r="K232" s="167" t="s">
        <v>818</v>
      </c>
      <c r="N232" s="1"/>
      <c r="O232" s="1"/>
      <c r="P232" s="1"/>
      <c r="Q232" s="1"/>
      <c r="R232" s="1"/>
      <c r="S232" s="1"/>
    </row>
    <row r="233" spans="1:19" s="62" customFormat="1" ht="56.25">
      <c r="A233" s="1"/>
      <c r="B233" s="171"/>
      <c r="C233" s="168"/>
      <c r="D233" s="140"/>
      <c r="E233" s="168"/>
      <c r="F233" s="168"/>
      <c r="G233" s="169"/>
      <c r="H233" s="139"/>
      <c r="I233" s="141"/>
      <c r="J233" s="142"/>
      <c r="K233" s="167" t="s">
        <v>819</v>
      </c>
      <c r="N233" s="1"/>
      <c r="O233" s="1"/>
      <c r="P233" s="1"/>
      <c r="Q233" s="1"/>
      <c r="R233" s="1"/>
      <c r="S233" s="1"/>
    </row>
    <row r="234" spans="1:19" s="62" customFormat="1" ht="37.5">
      <c r="A234" s="1"/>
      <c r="B234" s="171"/>
      <c r="C234" s="168"/>
      <c r="D234" s="140"/>
      <c r="E234" s="168"/>
      <c r="F234" s="168"/>
      <c r="G234" s="169"/>
      <c r="H234" s="139"/>
      <c r="I234" s="141"/>
      <c r="J234" s="142"/>
      <c r="K234" s="167" t="s">
        <v>820</v>
      </c>
      <c r="N234" s="1"/>
      <c r="O234" s="1"/>
      <c r="P234" s="1"/>
      <c r="Q234" s="1"/>
      <c r="R234" s="1"/>
      <c r="S234" s="1"/>
    </row>
    <row r="235" spans="1:19" s="62" customFormat="1" ht="37.5">
      <c r="A235" s="1"/>
      <c r="B235" s="171"/>
      <c r="C235" s="168"/>
      <c r="D235" s="140"/>
      <c r="E235" s="168"/>
      <c r="F235" s="168"/>
      <c r="G235" s="169"/>
      <c r="H235" s="139"/>
      <c r="I235" s="141"/>
      <c r="J235" s="142"/>
      <c r="K235" s="167" t="s">
        <v>821</v>
      </c>
      <c r="N235" s="1"/>
      <c r="O235" s="1"/>
      <c r="P235" s="1"/>
      <c r="Q235" s="1"/>
      <c r="R235" s="1"/>
      <c r="S235" s="1"/>
    </row>
    <row r="236" spans="1:19" s="62" customFormat="1" ht="37.5">
      <c r="A236" s="1"/>
      <c r="B236" s="171"/>
      <c r="C236" s="168"/>
      <c r="D236" s="140"/>
      <c r="E236" s="168"/>
      <c r="F236" s="168"/>
      <c r="G236" s="169"/>
      <c r="H236" s="139"/>
      <c r="I236" s="141"/>
      <c r="J236" s="142"/>
      <c r="K236" s="167" t="s">
        <v>822</v>
      </c>
      <c r="N236" s="1"/>
      <c r="O236" s="1"/>
      <c r="P236" s="1"/>
      <c r="Q236" s="1"/>
      <c r="R236" s="1"/>
      <c r="S236" s="1"/>
    </row>
    <row r="237" spans="1:19" s="62" customFormat="1" ht="37.5">
      <c r="A237" s="1"/>
      <c r="B237" s="171" t="s">
        <v>157</v>
      </c>
      <c r="C237" s="168"/>
      <c r="D237" s="140"/>
      <c r="E237" s="168">
        <v>6.55</v>
      </c>
      <c r="F237" s="168"/>
      <c r="G237" s="169"/>
      <c r="H237" s="139">
        <f>5.41+26.4115+9.5493+14.27485+25.82</f>
        <v>81.465650000000011</v>
      </c>
      <c r="I237" s="141">
        <f t="shared" si="8"/>
        <v>74.915650000000014</v>
      </c>
      <c r="J237" s="142">
        <f t="shared" ref="J237:J299" si="9">+I237*100/H237</f>
        <v>91.959801462334127</v>
      </c>
      <c r="K237" s="167" t="s">
        <v>823</v>
      </c>
      <c r="N237" s="1"/>
      <c r="O237" s="1"/>
      <c r="P237" s="1"/>
      <c r="Q237" s="1"/>
      <c r="R237" s="1"/>
      <c r="S237" s="1"/>
    </row>
    <row r="238" spans="1:19" s="62" customFormat="1" ht="56.25">
      <c r="A238" s="1"/>
      <c r="B238" s="171"/>
      <c r="C238" s="168"/>
      <c r="D238" s="140"/>
      <c r="E238" s="168"/>
      <c r="F238" s="168"/>
      <c r="G238" s="169"/>
      <c r="H238" s="139"/>
      <c r="I238" s="141"/>
      <c r="J238" s="142"/>
      <c r="K238" s="167" t="s">
        <v>824</v>
      </c>
      <c r="N238" s="1"/>
      <c r="O238" s="1"/>
      <c r="P238" s="1"/>
      <c r="Q238" s="1"/>
      <c r="R238" s="1"/>
      <c r="S238" s="1"/>
    </row>
    <row r="239" spans="1:19" s="62" customFormat="1" ht="37.5">
      <c r="A239" s="1"/>
      <c r="B239" s="171"/>
      <c r="C239" s="168"/>
      <c r="D239" s="140"/>
      <c r="E239" s="168"/>
      <c r="F239" s="168"/>
      <c r="G239" s="169"/>
      <c r="H239" s="139"/>
      <c r="I239" s="141"/>
      <c r="J239" s="142"/>
      <c r="K239" s="167" t="s">
        <v>825</v>
      </c>
      <c r="N239" s="1"/>
      <c r="O239" s="1"/>
      <c r="P239" s="1"/>
      <c r="Q239" s="1"/>
      <c r="R239" s="1"/>
      <c r="S239" s="1"/>
    </row>
    <row r="240" spans="1:19" s="62" customFormat="1" ht="56.25">
      <c r="A240" s="1"/>
      <c r="B240" s="171"/>
      <c r="C240" s="168"/>
      <c r="D240" s="140"/>
      <c r="E240" s="168"/>
      <c r="F240" s="168"/>
      <c r="G240" s="169"/>
      <c r="H240" s="139"/>
      <c r="I240" s="141"/>
      <c r="J240" s="142"/>
      <c r="K240" s="167" t="s">
        <v>826</v>
      </c>
      <c r="N240" s="1"/>
      <c r="O240" s="1"/>
      <c r="P240" s="1"/>
      <c r="Q240" s="1"/>
      <c r="R240" s="1"/>
      <c r="S240" s="1"/>
    </row>
    <row r="241" spans="1:19" s="62" customFormat="1" ht="37.5">
      <c r="A241" s="1"/>
      <c r="B241" s="171"/>
      <c r="C241" s="168"/>
      <c r="D241" s="140"/>
      <c r="E241" s="168"/>
      <c r="F241" s="168"/>
      <c r="G241" s="169"/>
      <c r="H241" s="139"/>
      <c r="I241" s="141"/>
      <c r="J241" s="142"/>
      <c r="K241" s="167" t="s">
        <v>827</v>
      </c>
      <c r="N241" s="1"/>
      <c r="O241" s="1"/>
      <c r="P241" s="1"/>
      <c r="Q241" s="1"/>
      <c r="R241" s="1"/>
      <c r="S241" s="1"/>
    </row>
    <row r="242" spans="1:19" s="62" customFormat="1" ht="37.5">
      <c r="A242" s="1"/>
      <c r="B242" s="171"/>
      <c r="C242" s="168"/>
      <c r="D242" s="140"/>
      <c r="E242" s="168"/>
      <c r="F242" s="168"/>
      <c r="G242" s="169"/>
      <c r="H242" s="139"/>
      <c r="I242" s="141"/>
      <c r="J242" s="142"/>
      <c r="K242" s="167" t="s">
        <v>828</v>
      </c>
      <c r="N242" s="1"/>
      <c r="O242" s="1"/>
      <c r="P242" s="1"/>
      <c r="Q242" s="1"/>
      <c r="R242" s="1"/>
      <c r="S242" s="1"/>
    </row>
    <row r="243" spans="1:19" s="62" customFormat="1" ht="56.25">
      <c r="A243" s="1"/>
      <c r="B243" s="171"/>
      <c r="C243" s="168"/>
      <c r="D243" s="140"/>
      <c r="E243" s="168"/>
      <c r="F243" s="168"/>
      <c r="G243" s="169"/>
      <c r="H243" s="139"/>
      <c r="I243" s="141"/>
      <c r="J243" s="142"/>
      <c r="K243" s="167" t="s">
        <v>829</v>
      </c>
      <c r="N243" s="1"/>
      <c r="O243" s="1"/>
      <c r="P243" s="1"/>
      <c r="Q243" s="1"/>
      <c r="R243" s="1"/>
      <c r="S243" s="1"/>
    </row>
    <row r="244" spans="1:19" s="62" customFormat="1" ht="56.25">
      <c r="A244" s="1"/>
      <c r="B244" s="171"/>
      <c r="C244" s="168"/>
      <c r="D244" s="140"/>
      <c r="E244" s="168"/>
      <c r="F244" s="168"/>
      <c r="G244" s="169"/>
      <c r="H244" s="139"/>
      <c r="I244" s="141"/>
      <c r="J244" s="142"/>
      <c r="K244" s="167" t="s">
        <v>830</v>
      </c>
      <c r="N244" s="1"/>
      <c r="O244" s="1"/>
      <c r="P244" s="1"/>
      <c r="Q244" s="1"/>
      <c r="R244" s="1"/>
      <c r="S244" s="1"/>
    </row>
    <row r="245" spans="1:19" s="62" customFormat="1" ht="56.25">
      <c r="A245" s="1"/>
      <c r="B245" s="171"/>
      <c r="C245" s="168"/>
      <c r="D245" s="140"/>
      <c r="E245" s="168"/>
      <c r="F245" s="168"/>
      <c r="G245" s="169"/>
      <c r="H245" s="139"/>
      <c r="I245" s="141"/>
      <c r="J245" s="142"/>
      <c r="K245" s="167" t="s">
        <v>831</v>
      </c>
      <c r="N245" s="1"/>
      <c r="O245" s="1"/>
      <c r="P245" s="1"/>
      <c r="Q245" s="1"/>
      <c r="R245" s="1"/>
      <c r="S245" s="1"/>
    </row>
    <row r="246" spans="1:19" s="62" customFormat="1" ht="37.5">
      <c r="A246" s="1"/>
      <c r="B246" s="171"/>
      <c r="C246" s="168"/>
      <c r="D246" s="140"/>
      <c r="E246" s="168"/>
      <c r="F246" s="168"/>
      <c r="G246" s="169"/>
      <c r="H246" s="139"/>
      <c r="I246" s="141"/>
      <c r="J246" s="142"/>
      <c r="K246" s="167" t="s">
        <v>832</v>
      </c>
      <c r="N246" s="1"/>
      <c r="O246" s="1"/>
      <c r="P246" s="1"/>
      <c r="Q246" s="1"/>
      <c r="R246" s="1"/>
      <c r="S246" s="1"/>
    </row>
    <row r="247" spans="1:19" s="62" customFormat="1" ht="37.5">
      <c r="A247" s="1"/>
      <c r="B247" s="171"/>
      <c r="C247" s="168"/>
      <c r="D247" s="140"/>
      <c r="E247" s="168"/>
      <c r="F247" s="168"/>
      <c r="G247" s="169"/>
      <c r="H247" s="139"/>
      <c r="I247" s="141"/>
      <c r="J247" s="142"/>
      <c r="K247" s="167" t="s">
        <v>833</v>
      </c>
      <c r="N247" s="1"/>
      <c r="O247" s="1"/>
      <c r="P247" s="1"/>
      <c r="Q247" s="1"/>
      <c r="R247" s="1"/>
      <c r="S247" s="1"/>
    </row>
    <row r="248" spans="1:19" s="62" customFormat="1" ht="37.5">
      <c r="A248" s="1"/>
      <c r="B248" s="171"/>
      <c r="C248" s="168"/>
      <c r="D248" s="140"/>
      <c r="E248" s="168"/>
      <c r="F248" s="168"/>
      <c r="G248" s="169"/>
      <c r="H248" s="139"/>
      <c r="I248" s="141"/>
      <c r="J248" s="142"/>
      <c r="K248" s="167" t="s">
        <v>834</v>
      </c>
      <c r="N248" s="1"/>
      <c r="O248" s="1"/>
      <c r="P248" s="1"/>
      <c r="Q248" s="1"/>
      <c r="R248" s="1"/>
      <c r="S248" s="1"/>
    </row>
    <row r="249" spans="1:19" s="62" customFormat="1" ht="56.25">
      <c r="A249" s="1"/>
      <c r="B249" s="171"/>
      <c r="C249" s="168"/>
      <c r="D249" s="140"/>
      <c r="E249" s="168"/>
      <c r="F249" s="168"/>
      <c r="G249" s="169"/>
      <c r="H249" s="139"/>
      <c r="I249" s="141"/>
      <c r="J249" s="142"/>
      <c r="K249" s="167" t="s">
        <v>835</v>
      </c>
      <c r="N249" s="1"/>
      <c r="O249" s="1"/>
      <c r="P249" s="1"/>
      <c r="Q249" s="1"/>
      <c r="R249" s="1"/>
      <c r="S249" s="1"/>
    </row>
    <row r="250" spans="1:19" s="62" customFormat="1" ht="56.25">
      <c r="A250" s="1"/>
      <c r="B250" s="171"/>
      <c r="C250" s="168"/>
      <c r="D250" s="140"/>
      <c r="E250" s="168"/>
      <c r="F250" s="168"/>
      <c r="G250" s="169"/>
      <c r="H250" s="139"/>
      <c r="I250" s="141"/>
      <c r="J250" s="142"/>
      <c r="K250" s="167" t="s">
        <v>836</v>
      </c>
      <c r="N250" s="1"/>
      <c r="O250" s="1"/>
      <c r="P250" s="1"/>
      <c r="Q250" s="1"/>
      <c r="R250" s="1"/>
      <c r="S250" s="1"/>
    </row>
    <row r="251" spans="1:19" s="62" customFormat="1" ht="37.5">
      <c r="A251" s="1"/>
      <c r="B251" s="171"/>
      <c r="C251" s="168"/>
      <c r="D251" s="140"/>
      <c r="E251" s="168"/>
      <c r="F251" s="168"/>
      <c r="G251" s="169"/>
      <c r="H251" s="139"/>
      <c r="I251" s="141"/>
      <c r="J251" s="142"/>
      <c r="K251" s="167" t="s">
        <v>837</v>
      </c>
      <c r="N251" s="1"/>
      <c r="O251" s="1"/>
      <c r="P251" s="1"/>
      <c r="Q251" s="1"/>
      <c r="R251" s="1"/>
      <c r="S251" s="1"/>
    </row>
    <row r="252" spans="1:19" s="62" customFormat="1" ht="37.5">
      <c r="A252" s="1"/>
      <c r="B252" s="171"/>
      <c r="C252" s="168"/>
      <c r="D252" s="140"/>
      <c r="E252" s="168"/>
      <c r="F252" s="168"/>
      <c r="G252" s="169"/>
      <c r="H252" s="139"/>
      <c r="I252" s="141"/>
      <c r="J252" s="142"/>
      <c r="K252" s="167" t="s">
        <v>838</v>
      </c>
      <c r="N252" s="1"/>
      <c r="O252" s="1"/>
      <c r="P252" s="1"/>
      <c r="Q252" s="1"/>
      <c r="R252" s="1"/>
      <c r="S252" s="1"/>
    </row>
    <row r="253" spans="1:19" s="62" customFormat="1" ht="56.25">
      <c r="A253" s="1"/>
      <c r="B253" s="171"/>
      <c r="C253" s="168"/>
      <c r="D253" s="140"/>
      <c r="E253" s="168"/>
      <c r="F253" s="168"/>
      <c r="G253" s="169"/>
      <c r="H253" s="139"/>
      <c r="I253" s="141"/>
      <c r="J253" s="142"/>
      <c r="K253" s="167" t="s">
        <v>839</v>
      </c>
      <c r="N253" s="1"/>
      <c r="O253" s="1"/>
      <c r="P253" s="1"/>
      <c r="Q253" s="1"/>
      <c r="R253" s="1"/>
      <c r="S253" s="1"/>
    </row>
    <row r="254" spans="1:19" s="62" customFormat="1" ht="37.5">
      <c r="A254" s="1"/>
      <c r="B254" s="171"/>
      <c r="C254" s="168"/>
      <c r="D254" s="140"/>
      <c r="E254" s="168"/>
      <c r="F254" s="168"/>
      <c r="G254" s="169"/>
      <c r="H254" s="139"/>
      <c r="I254" s="141"/>
      <c r="J254" s="142"/>
      <c r="K254" s="167" t="s">
        <v>840</v>
      </c>
      <c r="N254" s="1"/>
      <c r="O254" s="1"/>
      <c r="P254" s="1"/>
      <c r="Q254" s="1"/>
      <c r="R254" s="1"/>
      <c r="S254" s="1"/>
    </row>
    <row r="255" spans="1:19" s="62" customFormat="1" ht="37.5">
      <c r="A255" s="1"/>
      <c r="B255" s="171"/>
      <c r="C255" s="168"/>
      <c r="D255" s="140"/>
      <c r="E255" s="168"/>
      <c r="F255" s="168"/>
      <c r="G255" s="169"/>
      <c r="H255" s="139"/>
      <c r="I255" s="141"/>
      <c r="J255" s="142"/>
      <c r="K255" s="167" t="s">
        <v>841</v>
      </c>
      <c r="N255" s="1"/>
      <c r="O255" s="1"/>
      <c r="P255" s="1"/>
      <c r="Q255" s="1"/>
      <c r="R255" s="1"/>
      <c r="S255" s="1"/>
    </row>
    <row r="256" spans="1:19" s="62" customFormat="1" ht="37.5">
      <c r="A256" s="1"/>
      <c r="B256" s="171"/>
      <c r="C256" s="168"/>
      <c r="D256" s="140"/>
      <c r="E256" s="168"/>
      <c r="F256" s="168"/>
      <c r="G256" s="169"/>
      <c r="H256" s="139"/>
      <c r="I256" s="141"/>
      <c r="J256" s="142"/>
      <c r="K256" s="167" t="s">
        <v>842</v>
      </c>
      <c r="N256" s="1"/>
      <c r="O256" s="1"/>
      <c r="P256" s="1"/>
      <c r="Q256" s="1"/>
      <c r="R256" s="1"/>
      <c r="S256" s="1"/>
    </row>
    <row r="257" spans="1:19" s="62" customFormat="1" ht="56.25">
      <c r="A257" s="1"/>
      <c r="B257" s="171"/>
      <c r="C257" s="168"/>
      <c r="D257" s="140"/>
      <c r="E257" s="168"/>
      <c r="F257" s="168"/>
      <c r="G257" s="169"/>
      <c r="H257" s="139"/>
      <c r="I257" s="141"/>
      <c r="J257" s="142"/>
      <c r="K257" s="167" t="s">
        <v>843</v>
      </c>
      <c r="N257" s="1"/>
      <c r="O257" s="1"/>
      <c r="P257" s="1"/>
      <c r="Q257" s="1"/>
      <c r="R257" s="1"/>
      <c r="S257" s="1"/>
    </row>
    <row r="258" spans="1:19" s="62" customFormat="1" ht="75">
      <c r="A258" s="1"/>
      <c r="B258" s="171"/>
      <c r="C258" s="168"/>
      <c r="D258" s="140"/>
      <c r="E258" s="168"/>
      <c r="F258" s="168"/>
      <c r="G258" s="169"/>
      <c r="H258" s="139"/>
      <c r="I258" s="141"/>
      <c r="J258" s="142"/>
      <c r="K258" s="167" t="s">
        <v>844</v>
      </c>
      <c r="N258" s="1"/>
      <c r="O258" s="1"/>
      <c r="P258" s="1"/>
      <c r="Q258" s="1"/>
      <c r="R258" s="1"/>
      <c r="S258" s="1"/>
    </row>
    <row r="259" spans="1:19" s="62" customFormat="1" ht="56.25">
      <c r="A259" s="1"/>
      <c r="B259" s="171"/>
      <c r="C259" s="168"/>
      <c r="D259" s="140"/>
      <c r="E259" s="168"/>
      <c r="F259" s="168"/>
      <c r="G259" s="169"/>
      <c r="H259" s="139"/>
      <c r="I259" s="141"/>
      <c r="J259" s="142"/>
      <c r="K259" s="167" t="s">
        <v>845</v>
      </c>
      <c r="N259" s="1"/>
      <c r="O259" s="1"/>
      <c r="P259" s="1"/>
      <c r="Q259" s="1"/>
      <c r="R259" s="1"/>
      <c r="S259" s="1"/>
    </row>
    <row r="260" spans="1:19" s="62" customFormat="1" ht="56.25">
      <c r="A260" s="1"/>
      <c r="B260" s="171"/>
      <c r="C260" s="168"/>
      <c r="D260" s="140"/>
      <c r="E260" s="168"/>
      <c r="F260" s="168"/>
      <c r="G260" s="169"/>
      <c r="H260" s="139"/>
      <c r="I260" s="141"/>
      <c r="J260" s="142"/>
      <c r="K260" s="167" t="s">
        <v>846</v>
      </c>
      <c r="N260" s="1"/>
      <c r="O260" s="1"/>
      <c r="P260" s="1"/>
      <c r="Q260" s="1"/>
      <c r="R260" s="1"/>
      <c r="S260" s="1"/>
    </row>
    <row r="261" spans="1:19" s="62" customFormat="1" ht="56.25">
      <c r="A261" s="1"/>
      <c r="B261" s="171"/>
      <c r="C261" s="168"/>
      <c r="D261" s="140"/>
      <c r="E261" s="168"/>
      <c r="F261" s="168"/>
      <c r="G261" s="169"/>
      <c r="H261" s="139"/>
      <c r="I261" s="141"/>
      <c r="J261" s="142"/>
      <c r="K261" s="167" t="s">
        <v>847</v>
      </c>
      <c r="N261" s="1"/>
      <c r="O261" s="1"/>
      <c r="P261" s="1"/>
      <c r="Q261" s="1"/>
      <c r="R261" s="1"/>
      <c r="S261" s="1"/>
    </row>
    <row r="262" spans="1:19" s="62" customFormat="1" ht="37.5">
      <c r="A262" s="1"/>
      <c r="B262" s="171"/>
      <c r="C262" s="168"/>
      <c r="D262" s="140"/>
      <c r="E262" s="168"/>
      <c r="F262" s="168"/>
      <c r="G262" s="169"/>
      <c r="H262" s="139"/>
      <c r="I262" s="141"/>
      <c r="J262" s="142"/>
      <c r="K262" s="167" t="s">
        <v>848</v>
      </c>
      <c r="N262" s="1"/>
      <c r="O262" s="1"/>
      <c r="P262" s="1"/>
      <c r="Q262" s="1"/>
      <c r="R262" s="1"/>
      <c r="S262" s="1"/>
    </row>
    <row r="263" spans="1:19" s="62" customFormat="1" ht="75">
      <c r="A263" s="1"/>
      <c r="B263" s="171"/>
      <c r="C263" s="168"/>
      <c r="D263" s="140"/>
      <c r="E263" s="168"/>
      <c r="F263" s="168"/>
      <c r="G263" s="169"/>
      <c r="H263" s="139"/>
      <c r="I263" s="141"/>
      <c r="J263" s="142"/>
      <c r="K263" s="167" t="s">
        <v>849</v>
      </c>
      <c r="N263" s="1"/>
      <c r="O263" s="1"/>
      <c r="P263" s="1"/>
      <c r="Q263" s="1"/>
      <c r="R263" s="1"/>
      <c r="S263" s="1"/>
    </row>
    <row r="264" spans="1:19" s="62" customFormat="1" ht="75">
      <c r="A264" s="1"/>
      <c r="B264" s="171"/>
      <c r="C264" s="168"/>
      <c r="D264" s="140"/>
      <c r="E264" s="168"/>
      <c r="F264" s="168"/>
      <c r="G264" s="169"/>
      <c r="H264" s="139"/>
      <c r="I264" s="141"/>
      <c r="J264" s="142"/>
      <c r="K264" s="167" t="s">
        <v>850</v>
      </c>
      <c r="N264" s="1"/>
      <c r="O264" s="1"/>
      <c r="P264" s="1"/>
      <c r="Q264" s="1"/>
      <c r="R264" s="1"/>
      <c r="S264" s="1"/>
    </row>
    <row r="265" spans="1:19" s="62" customFormat="1" ht="56.25">
      <c r="A265" s="1"/>
      <c r="B265" s="171"/>
      <c r="C265" s="168"/>
      <c r="D265" s="140"/>
      <c r="E265" s="168"/>
      <c r="F265" s="168"/>
      <c r="G265" s="169"/>
      <c r="H265" s="139"/>
      <c r="I265" s="141"/>
      <c r="J265" s="142"/>
      <c r="K265" s="167" t="s">
        <v>851</v>
      </c>
      <c r="N265" s="1"/>
      <c r="O265" s="1"/>
      <c r="P265" s="1"/>
      <c r="Q265" s="1"/>
      <c r="R265" s="1"/>
      <c r="S265" s="1"/>
    </row>
    <row r="266" spans="1:19" s="62" customFormat="1">
      <c r="A266" s="1"/>
      <c r="B266" s="171" t="s">
        <v>165</v>
      </c>
      <c r="C266" s="168"/>
      <c r="D266" s="140"/>
      <c r="E266" s="168">
        <v>0.06</v>
      </c>
      <c r="F266" s="168"/>
      <c r="G266" s="169"/>
      <c r="H266" s="139"/>
      <c r="I266" s="141">
        <f t="shared" ref="I266:I309" si="10">+H266-E266</f>
        <v>-0.06</v>
      </c>
      <c r="J266" s="142">
        <v>0</v>
      </c>
      <c r="K266" s="170"/>
      <c r="N266" s="1"/>
      <c r="O266" s="1"/>
      <c r="P266" s="1"/>
      <c r="Q266" s="1"/>
      <c r="R266" s="1"/>
      <c r="S266" s="1"/>
    </row>
    <row r="267" spans="1:19" s="62" customFormat="1">
      <c r="A267" s="1"/>
      <c r="B267" s="171" t="s">
        <v>166</v>
      </c>
      <c r="C267" s="168"/>
      <c r="D267" s="140"/>
      <c r="E267" s="168">
        <v>0.2</v>
      </c>
      <c r="F267" s="168"/>
      <c r="G267" s="169"/>
      <c r="H267" s="139">
        <f>2+1.979+2.4875+0.1094-0.5</f>
        <v>6.0758999999999999</v>
      </c>
      <c r="I267" s="141">
        <f t="shared" si="10"/>
        <v>5.8758999999999997</v>
      </c>
      <c r="J267" s="142">
        <f t="shared" si="9"/>
        <v>96.708306588324348</v>
      </c>
      <c r="K267" s="170" t="s">
        <v>852</v>
      </c>
      <c r="N267" s="1"/>
      <c r="O267" s="1"/>
      <c r="P267" s="1"/>
      <c r="Q267" s="1"/>
      <c r="R267" s="1"/>
      <c r="S267" s="1"/>
    </row>
    <row r="268" spans="1:19" s="62" customFormat="1">
      <c r="A268" s="1"/>
      <c r="B268" s="171"/>
      <c r="C268" s="168"/>
      <c r="D268" s="140"/>
      <c r="E268" s="168"/>
      <c r="F268" s="168"/>
      <c r="G268" s="169"/>
      <c r="H268" s="139"/>
      <c r="I268" s="141"/>
      <c r="J268" s="142"/>
      <c r="K268" s="170" t="s">
        <v>853</v>
      </c>
      <c r="N268" s="1"/>
      <c r="O268" s="1"/>
      <c r="P268" s="1"/>
      <c r="Q268" s="1"/>
      <c r="R268" s="1"/>
      <c r="S268" s="1"/>
    </row>
    <row r="269" spans="1:19" s="62" customFormat="1">
      <c r="A269" s="1"/>
      <c r="B269" s="171"/>
      <c r="C269" s="168"/>
      <c r="D269" s="140"/>
      <c r="E269" s="168"/>
      <c r="F269" s="168"/>
      <c r="G269" s="169"/>
      <c r="H269" s="139"/>
      <c r="I269" s="141"/>
      <c r="J269" s="142"/>
      <c r="K269" s="170" t="s">
        <v>854</v>
      </c>
      <c r="N269" s="1"/>
      <c r="O269" s="1"/>
      <c r="P269" s="1"/>
      <c r="Q269" s="1"/>
      <c r="R269" s="1"/>
      <c r="S269" s="1"/>
    </row>
    <row r="270" spans="1:19" s="62" customFormat="1">
      <c r="A270" s="1"/>
      <c r="B270" s="171"/>
      <c r="C270" s="168"/>
      <c r="D270" s="140"/>
      <c r="E270" s="168"/>
      <c r="F270" s="168"/>
      <c r="G270" s="169"/>
      <c r="H270" s="139"/>
      <c r="I270" s="141"/>
      <c r="J270" s="142"/>
      <c r="K270" s="170" t="s">
        <v>855</v>
      </c>
      <c r="N270" s="1"/>
      <c r="O270" s="1"/>
      <c r="P270" s="1"/>
      <c r="Q270" s="1"/>
      <c r="R270" s="1"/>
      <c r="S270" s="1"/>
    </row>
    <row r="271" spans="1:19" s="62" customFormat="1">
      <c r="A271" s="1"/>
      <c r="B271" s="171"/>
      <c r="C271" s="168"/>
      <c r="D271" s="140"/>
      <c r="E271" s="168"/>
      <c r="F271" s="168"/>
      <c r="G271" s="169"/>
      <c r="H271" s="139"/>
      <c r="I271" s="141"/>
      <c r="J271" s="142"/>
      <c r="K271" s="170" t="s">
        <v>856</v>
      </c>
      <c r="N271" s="1"/>
      <c r="O271" s="1"/>
      <c r="P271" s="1"/>
      <c r="Q271" s="1"/>
      <c r="R271" s="1"/>
      <c r="S271" s="1"/>
    </row>
    <row r="272" spans="1:19" s="62" customFormat="1" ht="37.5">
      <c r="A272" s="1"/>
      <c r="B272" s="171"/>
      <c r="C272" s="168"/>
      <c r="D272" s="140"/>
      <c r="E272" s="168"/>
      <c r="F272" s="168"/>
      <c r="G272" s="169"/>
      <c r="H272" s="139"/>
      <c r="I272" s="141"/>
      <c r="J272" s="142"/>
      <c r="K272" s="167" t="s">
        <v>857</v>
      </c>
      <c r="N272" s="1"/>
      <c r="O272" s="1"/>
      <c r="P272" s="1"/>
      <c r="Q272" s="1"/>
      <c r="R272" s="1"/>
      <c r="S272" s="1"/>
    </row>
    <row r="273" spans="1:19" s="62" customFormat="1" ht="37.5">
      <c r="A273" s="1"/>
      <c r="B273" s="171"/>
      <c r="C273" s="168"/>
      <c r="D273" s="140"/>
      <c r="E273" s="168"/>
      <c r="F273" s="168"/>
      <c r="G273" s="169"/>
      <c r="H273" s="139"/>
      <c r="I273" s="141"/>
      <c r="J273" s="142"/>
      <c r="K273" s="167" t="s">
        <v>858</v>
      </c>
      <c r="N273" s="1"/>
      <c r="O273" s="1"/>
      <c r="P273" s="1"/>
      <c r="Q273" s="1"/>
      <c r="R273" s="1"/>
      <c r="S273" s="1"/>
    </row>
    <row r="274" spans="1:19" s="62" customFormat="1" ht="37.5">
      <c r="A274" s="1"/>
      <c r="B274" s="171"/>
      <c r="C274" s="168"/>
      <c r="D274" s="140"/>
      <c r="E274" s="168"/>
      <c r="F274" s="168"/>
      <c r="G274" s="169"/>
      <c r="H274" s="139"/>
      <c r="I274" s="141"/>
      <c r="J274" s="142"/>
      <c r="K274" s="167" t="s">
        <v>859</v>
      </c>
      <c r="N274" s="1"/>
      <c r="O274" s="1"/>
      <c r="P274" s="1"/>
      <c r="Q274" s="1"/>
      <c r="R274" s="1"/>
      <c r="S274" s="1"/>
    </row>
    <row r="275" spans="1:19" s="62" customFormat="1" ht="37.5">
      <c r="A275" s="1"/>
      <c r="B275" s="171"/>
      <c r="C275" s="168"/>
      <c r="D275" s="140"/>
      <c r="E275" s="168"/>
      <c r="F275" s="168"/>
      <c r="G275" s="169"/>
      <c r="H275" s="139"/>
      <c r="I275" s="141"/>
      <c r="J275" s="142"/>
      <c r="K275" s="167" t="s">
        <v>860</v>
      </c>
      <c r="N275" s="1"/>
      <c r="O275" s="1"/>
      <c r="P275" s="1"/>
      <c r="Q275" s="1"/>
      <c r="R275" s="1"/>
      <c r="S275" s="1"/>
    </row>
    <row r="276" spans="1:19" s="62" customFormat="1" ht="37.5">
      <c r="A276" s="1"/>
      <c r="B276" s="171"/>
      <c r="C276" s="168"/>
      <c r="D276" s="140"/>
      <c r="E276" s="168"/>
      <c r="F276" s="168"/>
      <c r="G276" s="169"/>
      <c r="H276" s="139"/>
      <c r="I276" s="141"/>
      <c r="J276" s="142"/>
      <c r="K276" s="167" t="s">
        <v>861</v>
      </c>
      <c r="N276" s="1"/>
      <c r="O276" s="1"/>
      <c r="P276" s="1"/>
      <c r="Q276" s="1"/>
      <c r="R276" s="1"/>
      <c r="S276" s="1"/>
    </row>
    <row r="277" spans="1:19" s="62" customFormat="1" ht="37.5">
      <c r="A277" s="1"/>
      <c r="B277" s="171"/>
      <c r="C277" s="168"/>
      <c r="D277" s="140"/>
      <c r="E277" s="168"/>
      <c r="F277" s="168"/>
      <c r="G277" s="169"/>
      <c r="H277" s="139"/>
      <c r="I277" s="141"/>
      <c r="J277" s="142"/>
      <c r="K277" s="167" t="s">
        <v>862</v>
      </c>
      <c r="N277" s="1"/>
      <c r="O277" s="1"/>
      <c r="P277" s="1"/>
      <c r="Q277" s="1"/>
      <c r="R277" s="1"/>
      <c r="S277" s="1"/>
    </row>
    <row r="278" spans="1:19" s="62" customFormat="1" ht="37.5">
      <c r="A278" s="1"/>
      <c r="B278" s="171"/>
      <c r="C278" s="168"/>
      <c r="D278" s="140"/>
      <c r="E278" s="168"/>
      <c r="F278" s="168"/>
      <c r="G278" s="169"/>
      <c r="H278" s="139"/>
      <c r="I278" s="141"/>
      <c r="J278" s="142"/>
      <c r="K278" s="167" t="s">
        <v>863</v>
      </c>
      <c r="N278" s="1"/>
      <c r="O278" s="1"/>
      <c r="P278" s="1"/>
      <c r="Q278" s="1"/>
      <c r="R278" s="1"/>
      <c r="S278" s="1"/>
    </row>
    <row r="279" spans="1:19" s="62" customFormat="1" ht="37.5">
      <c r="A279" s="1"/>
      <c r="B279" s="171"/>
      <c r="C279" s="168"/>
      <c r="D279" s="140"/>
      <c r="E279" s="168"/>
      <c r="F279" s="168"/>
      <c r="G279" s="169"/>
      <c r="H279" s="139"/>
      <c r="I279" s="141"/>
      <c r="J279" s="142"/>
      <c r="K279" s="167" t="s">
        <v>864</v>
      </c>
      <c r="N279" s="1"/>
      <c r="O279" s="1"/>
      <c r="P279" s="1"/>
      <c r="Q279" s="1"/>
      <c r="R279" s="1"/>
      <c r="S279" s="1"/>
    </row>
    <row r="280" spans="1:19" s="62" customFormat="1" ht="56.25">
      <c r="A280" s="1"/>
      <c r="B280" s="171" t="s">
        <v>1023</v>
      </c>
      <c r="C280" s="168"/>
      <c r="D280" s="140"/>
      <c r="E280" s="168">
        <v>85.18</v>
      </c>
      <c r="F280" s="168"/>
      <c r="G280" s="169"/>
      <c r="H280" s="139">
        <v>3.85</v>
      </c>
      <c r="I280" s="141">
        <f t="shared" si="10"/>
        <v>-81.330000000000013</v>
      </c>
      <c r="J280" s="142">
        <f t="shared" si="9"/>
        <v>-2112.4675324675327</v>
      </c>
      <c r="K280" s="167" t="s">
        <v>865</v>
      </c>
      <c r="N280" s="1"/>
      <c r="O280" s="1"/>
      <c r="P280" s="1"/>
      <c r="Q280" s="1"/>
      <c r="R280" s="1"/>
      <c r="S280" s="1"/>
    </row>
    <row r="281" spans="1:19" s="62" customFormat="1" ht="75">
      <c r="A281" s="1"/>
      <c r="B281" s="171" t="s">
        <v>866</v>
      </c>
      <c r="C281" s="168"/>
      <c r="D281" s="140"/>
      <c r="E281" s="168"/>
      <c r="F281" s="168"/>
      <c r="G281" s="169"/>
      <c r="H281" s="139">
        <v>4.3776000000000002</v>
      </c>
      <c r="I281" s="141">
        <f t="shared" si="10"/>
        <v>4.3776000000000002</v>
      </c>
      <c r="J281" s="142">
        <f t="shared" si="9"/>
        <v>100</v>
      </c>
      <c r="K281" s="167" t="s">
        <v>867</v>
      </c>
      <c r="N281" s="1"/>
      <c r="O281" s="1"/>
      <c r="P281" s="1"/>
      <c r="Q281" s="1"/>
      <c r="R281" s="1"/>
      <c r="S281" s="1"/>
    </row>
    <row r="282" spans="1:19" s="62" customFormat="1" ht="56.25">
      <c r="A282" s="1"/>
      <c r="B282" s="171" t="s">
        <v>868</v>
      </c>
      <c r="C282" s="168"/>
      <c r="D282" s="140"/>
      <c r="E282" s="168"/>
      <c r="F282" s="168"/>
      <c r="G282" s="169"/>
      <c r="H282" s="139">
        <v>41.62</v>
      </c>
      <c r="I282" s="141">
        <f t="shared" si="10"/>
        <v>41.62</v>
      </c>
      <c r="J282" s="142">
        <f t="shared" si="9"/>
        <v>100</v>
      </c>
      <c r="K282" s="167" t="s">
        <v>869</v>
      </c>
      <c r="N282" s="1"/>
      <c r="O282" s="1"/>
      <c r="P282" s="1"/>
      <c r="Q282" s="1"/>
      <c r="R282" s="1"/>
      <c r="S282" s="1"/>
    </row>
    <row r="283" spans="1:19" s="62" customFormat="1" ht="75">
      <c r="A283" s="1"/>
      <c r="B283" s="171"/>
      <c r="C283" s="168"/>
      <c r="D283" s="140"/>
      <c r="E283" s="168"/>
      <c r="F283" s="168"/>
      <c r="G283" s="169"/>
      <c r="H283" s="139"/>
      <c r="I283" s="141"/>
      <c r="J283" s="142"/>
      <c r="K283" s="167" t="s">
        <v>870</v>
      </c>
      <c r="N283" s="1"/>
      <c r="O283" s="1"/>
      <c r="P283" s="1"/>
      <c r="Q283" s="1"/>
      <c r="R283" s="1"/>
      <c r="S283" s="1"/>
    </row>
    <row r="284" spans="1:19" s="62" customFormat="1" ht="56.25">
      <c r="A284" s="1"/>
      <c r="B284" s="171"/>
      <c r="C284" s="168"/>
      <c r="D284" s="140"/>
      <c r="E284" s="168"/>
      <c r="F284" s="168"/>
      <c r="G284" s="169"/>
      <c r="H284" s="139"/>
      <c r="I284" s="141"/>
      <c r="J284" s="142"/>
      <c r="K284" s="167" t="s">
        <v>871</v>
      </c>
      <c r="N284" s="1"/>
      <c r="O284" s="1"/>
      <c r="P284" s="1"/>
      <c r="Q284" s="1"/>
      <c r="R284" s="1"/>
      <c r="S284" s="1"/>
    </row>
    <row r="285" spans="1:19" s="62" customFormat="1" ht="56.25">
      <c r="A285" s="1"/>
      <c r="B285" s="171"/>
      <c r="C285" s="168"/>
      <c r="D285" s="140"/>
      <c r="E285" s="168"/>
      <c r="F285" s="168"/>
      <c r="G285" s="169"/>
      <c r="H285" s="139"/>
      <c r="I285" s="141"/>
      <c r="J285" s="142"/>
      <c r="K285" s="167" t="s">
        <v>872</v>
      </c>
      <c r="N285" s="1"/>
      <c r="O285" s="1"/>
      <c r="P285" s="1"/>
      <c r="Q285" s="1"/>
      <c r="R285" s="1"/>
      <c r="S285" s="1"/>
    </row>
    <row r="286" spans="1:19" s="62" customFormat="1" ht="40.5">
      <c r="A286" s="1"/>
      <c r="B286" s="167" t="s">
        <v>69</v>
      </c>
      <c r="C286" s="168"/>
      <c r="D286" s="140"/>
      <c r="E286" s="168"/>
      <c r="F286" s="168"/>
      <c r="G286" s="169"/>
      <c r="H286" s="139">
        <f>SUM(H289:H293)</f>
        <v>24.119999999999997</v>
      </c>
      <c r="I286" s="141">
        <f t="shared" si="10"/>
        <v>24.119999999999997</v>
      </c>
      <c r="J286" s="142">
        <f t="shared" si="9"/>
        <v>99.999999999999986</v>
      </c>
      <c r="K286" s="170"/>
      <c r="N286" s="1"/>
      <c r="O286" s="1"/>
      <c r="P286" s="1"/>
      <c r="Q286" s="1"/>
      <c r="R286" s="1"/>
      <c r="S286" s="1"/>
    </row>
    <row r="287" spans="1:19" s="62" customFormat="1">
      <c r="A287" s="1"/>
      <c r="B287" s="171" t="s">
        <v>2</v>
      </c>
      <c r="C287" s="172"/>
      <c r="D287" s="173"/>
      <c r="E287" s="172"/>
      <c r="F287" s="168"/>
      <c r="G287" s="169"/>
      <c r="H287" s="139"/>
      <c r="I287" s="141"/>
      <c r="J287" s="142"/>
      <c r="K287" s="170"/>
      <c r="N287" s="1"/>
      <c r="O287" s="1"/>
      <c r="P287" s="1"/>
      <c r="Q287" s="1"/>
      <c r="R287" s="1"/>
      <c r="S287" s="1"/>
    </row>
    <row r="288" spans="1:19" s="62" customFormat="1">
      <c r="A288" s="1"/>
      <c r="B288" s="171" t="s">
        <v>3</v>
      </c>
      <c r="C288" s="172"/>
      <c r="D288" s="173"/>
      <c r="E288" s="172"/>
      <c r="F288" s="168"/>
      <c r="G288" s="169"/>
      <c r="H288" s="139"/>
      <c r="I288" s="141"/>
      <c r="J288" s="142"/>
      <c r="K288" s="170"/>
      <c r="N288" s="1"/>
      <c r="O288" s="1"/>
      <c r="P288" s="1"/>
      <c r="Q288" s="1"/>
      <c r="R288" s="1"/>
      <c r="S288" s="1"/>
    </row>
    <row r="289" spans="1:19" s="62" customFormat="1" ht="56.25">
      <c r="A289" s="1"/>
      <c r="B289" s="171" t="s">
        <v>873</v>
      </c>
      <c r="C289" s="168"/>
      <c r="D289" s="140"/>
      <c r="E289" s="168"/>
      <c r="F289" s="168"/>
      <c r="G289" s="169"/>
      <c r="H289" s="139">
        <v>0.9</v>
      </c>
      <c r="I289" s="141">
        <f t="shared" si="10"/>
        <v>0.9</v>
      </c>
      <c r="J289" s="142">
        <f t="shared" si="9"/>
        <v>100</v>
      </c>
      <c r="K289" s="167" t="s">
        <v>874</v>
      </c>
      <c r="N289" s="1"/>
      <c r="O289" s="1"/>
      <c r="P289" s="1"/>
      <c r="Q289" s="1"/>
      <c r="R289" s="1"/>
      <c r="S289" s="1"/>
    </row>
    <row r="290" spans="1:19" s="62" customFormat="1" ht="75">
      <c r="A290" s="1"/>
      <c r="B290" s="171" t="s">
        <v>875</v>
      </c>
      <c r="C290" s="168"/>
      <c r="D290" s="140"/>
      <c r="E290" s="168"/>
      <c r="F290" s="168"/>
      <c r="G290" s="169"/>
      <c r="H290" s="139">
        <v>6.48</v>
      </c>
      <c r="I290" s="141">
        <f t="shared" si="10"/>
        <v>6.48</v>
      </c>
      <c r="J290" s="142">
        <f t="shared" si="9"/>
        <v>100</v>
      </c>
      <c r="K290" s="167" t="s">
        <v>876</v>
      </c>
      <c r="N290" s="1"/>
      <c r="O290" s="1"/>
      <c r="P290" s="1"/>
      <c r="Q290" s="1"/>
      <c r="R290" s="1"/>
      <c r="S290" s="1"/>
    </row>
    <row r="291" spans="1:19" s="62" customFormat="1" ht="56.25">
      <c r="A291" s="1"/>
      <c r="B291" s="171" t="s">
        <v>877</v>
      </c>
      <c r="C291" s="168"/>
      <c r="D291" s="140"/>
      <c r="E291" s="168"/>
      <c r="F291" s="168"/>
      <c r="G291" s="169"/>
      <c r="H291" s="139">
        <v>0.18</v>
      </c>
      <c r="I291" s="141">
        <f t="shared" si="10"/>
        <v>0.18</v>
      </c>
      <c r="J291" s="142">
        <f t="shared" si="9"/>
        <v>100</v>
      </c>
      <c r="K291" s="167" t="s">
        <v>878</v>
      </c>
      <c r="N291" s="1"/>
      <c r="O291" s="1"/>
      <c r="P291" s="1"/>
      <c r="Q291" s="1"/>
      <c r="R291" s="1"/>
      <c r="S291" s="1"/>
    </row>
    <row r="292" spans="1:19" s="62" customFormat="1" ht="56.25">
      <c r="A292" s="1"/>
      <c r="B292" s="171" t="s">
        <v>879</v>
      </c>
      <c r="C292" s="168"/>
      <c r="D292" s="140"/>
      <c r="E292" s="168"/>
      <c r="F292" s="168"/>
      <c r="G292" s="169"/>
      <c r="H292" s="139">
        <v>16.2</v>
      </c>
      <c r="I292" s="141">
        <f t="shared" si="10"/>
        <v>16.2</v>
      </c>
      <c r="J292" s="142">
        <f t="shared" si="9"/>
        <v>100</v>
      </c>
      <c r="K292" s="167" t="s">
        <v>880</v>
      </c>
      <c r="N292" s="1"/>
      <c r="O292" s="1"/>
      <c r="P292" s="1"/>
      <c r="Q292" s="1"/>
      <c r="R292" s="1"/>
      <c r="S292" s="1"/>
    </row>
    <row r="293" spans="1:19" s="62" customFormat="1" ht="56.25">
      <c r="A293" s="1"/>
      <c r="B293" s="171" t="s">
        <v>881</v>
      </c>
      <c r="C293" s="168"/>
      <c r="D293" s="140"/>
      <c r="E293" s="168"/>
      <c r="F293" s="168"/>
      <c r="G293" s="169"/>
      <c r="H293" s="139">
        <v>0.36</v>
      </c>
      <c r="I293" s="141">
        <f t="shared" si="10"/>
        <v>0.36</v>
      </c>
      <c r="J293" s="142">
        <f t="shared" si="9"/>
        <v>100</v>
      </c>
      <c r="K293" s="167" t="s">
        <v>882</v>
      </c>
      <c r="N293" s="1"/>
      <c r="O293" s="1"/>
      <c r="P293" s="1"/>
      <c r="Q293" s="1"/>
      <c r="R293" s="1"/>
      <c r="S293" s="1"/>
    </row>
    <row r="294" spans="1:19" s="62" customFormat="1">
      <c r="A294" s="1"/>
      <c r="B294" s="167" t="s">
        <v>22</v>
      </c>
      <c r="C294" s="168"/>
      <c r="D294" s="140"/>
      <c r="E294" s="168"/>
      <c r="F294" s="168"/>
      <c r="G294" s="169"/>
      <c r="H294" s="139"/>
      <c r="I294" s="141"/>
      <c r="J294" s="142"/>
      <c r="K294" s="170"/>
      <c r="N294" s="1"/>
      <c r="O294" s="1"/>
      <c r="P294" s="1"/>
      <c r="Q294" s="1"/>
      <c r="R294" s="1"/>
      <c r="S294" s="1"/>
    </row>
    <row r="295" spans="1:19" s="62" customFormat="1">
      <c r="A295" s="1"/>
      <c r="B295" s="171" t="s">
        <v>21</v>
      </c>
      <c r="C295" s="168"/>
      <c r="D295" s="140"/>
      <c r="E295" s="168"/>
      <c r="F295" s="168"/>
      <c r="G295" s="169"/>
      <c r="H295" s="139"/>
      <c r="I295" s="141"/>
      <c r="J295" s="142"/>
      <c r="K295" s="170"/>
      <c r="N295" s="1"/>
      <c r="O295" s="1"/>
      <c r="P295" s="1"/>
      <c r="Q295" s="1"/>
      <c r="R295" s="1"/>
      <c r="S295" s="1"/>
    </row>
    <row r="296" spans="1:19" s="62" customFormat="1">
      <c r="A296" s="1"/>
      <c r="B296" s="167" t="s">
        <v>20</v>
      </c>
      <c r="C296" s="168"/>
      <c r="D296" s="140"/>
      <c r="E296" s="168"/>
      <c r="F296" s="168"/>
      <c r="G296" s="169"/>
      <c r="H296" s="139"/>
      <c r="I296" s="141"/>
      <c r="J296" s="142"/>
      <c r="K296" s="170"/>
      <c r="N296" s="1"/>
      <c r="O296" s="1"/>
      <c r="P296" s="1"/>
      <c r="Q296" s="1"/>
      <c r="R296" s="1"/>
      <c r="S296" s="1"/>
    </row>
    <row r="297" spans="1:19" s="62" customFormat="1">
      <c r="A297" s="1"/>
      <c r="B297" s="171" t="s">
        <v>17</v>
      </c>
      <c r="C297" s="168"/>
      <c r="D297" s="140"/>
      <c r="E297" s="168"/>
      <c r="F297" s="168"/>
      <c r="G297" s="169"/>
      <c r="H297" s="139"/>
      <c r="I297" s="141"/>
      <c r="J297" s="142"/>
      <c r="K297" s="170"/>
      <c r="N297" s="1"/>
      <c r="O297" s="1"/>
      <c r="P297" s="1"/>
      <c r="Q297" s="1"/>
      <c r="R297" s="1"/>
      <c r="S297" s="1"/>
    </row>
    <row r="298" spans="1:19" s="62" customFormat="1">
      <c r="A298" s="1"/>
      <c r="B298" s="216" t="s">
        <v>44</v>
      </c>
      <c r="C298" s="133"/>
      <c r="D298" s="134"/>
      <c r="E298" s="133">
        <f>SUM(E299:E307)</f>
        <v>15.862699999999998</v>
      </c>
      <c r="F298" s="133"/>
      <c r="G298" s="134"/>
      <c r="H298" s="133">
        <f>SUM(H299:H307)</f>
        <v>4.1621500000000005</v>
      </c>
      <c r="I298" s="135">
        <f t="shared" si="10"/>
        <v>-11.700549999999998</v>
      </c>
      <c r="J298" s="136">
        <f t="shared" si="9"/>
        <v>-281.11793183811244</v>
      </c>
      <c r="K298" s="137"/>
      <c r="N298" s="1"/>
      <c r="O298" s="1"/>
      <c r="P298" s="1"/>
      <c r="Q298" s="1"/>
      <c r="R298" s="1"/>
      <c r="S298" s="1"/>
    </row>
    <row r="299" spans="1:19" s="62" customFormat="1" ht="37.5">
      <c r="A299" s="1"/>
      <c r="B299" s="171" t="s">
        <v>90</v>
      </c>
      <c r="C299" s="168"/>
      <c r="D299" s="140"/>
      <c r="E299" s="168">
        <v>3.5</v>
      </c>
      <c r="F299" s="168"/>
      <c r="G299" s="169"/>
      <c r="H299" s="168">
        <f>0.6092+1.2995</f>
        <v>1.9087000000000001</v>
      </c>
      <c r="I299" s="141">
        <f t="shared" si="10"/>
        <v>-1.5912999999999999</v>
      </c>
      <c r="J299" s="142">
        <f t="shared" si="9"/>
        <v>-83.37088070414417</v>
      </c>
      <c r="K299" s="167" t="s">
        <v>883</v>
      </c>
      <c r="N299" s="1"/>
      <c r="O299" s="1"/>
      <c r="P299" s="1"/>
      <c r="Q299" s="1"/>
      <c r="R299" s="1"/>
      <c r="S299" s="1"/>
    </row>
    <row r="300" spans="1:19" s="62" customFormat="1" ht="37.5">
      <c r="A300" s="1"/>
      <c r="B300" s="171"/>
      <c r="C300" s="168"/>
      <c r="D300" s="140"/>
      <c r="E300" s="168"/>
      <c r="F300" s="168"/>
      <c r="G300" s="169"/>
      <c r="H300" s="168"/>
      <c r="I300" s="141">
        <f t="shared" si="10"/>
        <v>0</v>
      </c>
      <c r="J300" s="142"/>
      <c r="K300" s="167" t="s">
        <v>884</v>
      </c>
      <c r="N300" s="1"/>
      <c r="O300" s="1"/>
      <c r="P300" s="1"/>
      <c r="Q300" s="1"/>
      <c r="R300" s="1"/>
      <c r="S300" s="1"/>
    </row>
    <row r="301" spans="1:19" s="62" customFormat="1" ht="56.25">
      <c r="A301" s="1"/>
      <c r="B301" s="171" t="s">
        <v>91</v>
      </c>
      <c r="C301" s="168"/>
      <c r="D301" s="140"/>
      <c r="E301" s="168">
        <v>1.5</v>
      </c>
      <c r="F301" s="168"/>
      <c r="G301" s="169"/>
      <c r="H301" s="168">
        <f>0.3022+0.0953+0.39995</f>
        <v>0.79744999999999999</v>
      </c>
      <c r="I301" s="141">
        <f t="shared" si="10"/>
        <v>-0.70255000000000001</v>
      </c>
      <c r="J301" s="142">
        <f t="shared" ref="J301:J353" si="11">+I301*100/H301</f>
        <v>-88.099567370995047</v>
      </c>
      <c r="K301" s="167" t="s">
        <v>885</v>
      </c>
      <c r="N301" s="1"/>
      <c r="O301" s="1"/>
      <c r="P301" s="1"/>
      <c r="Q301" s="1"/>
      <c r="R301" s="1"/>
      <c r="S301" s="1"/>
    </row>
    <row r="302" spans="1:19" s="62" customFormat="1" ht="75">
      <c r="A302" s="1"/>
      <c r="B302" s="171"/>
      <c r="C302" s="168"/>
      <c r="D302" s="140"/>
      <c r="E302" s="168"/>
      <c r="F302" s="168"/>
      <c r="G302" s="169"/>
      <c r="H302" s="168"/>
      <c r="I302" s="141">
        <f t="shared" si="10"/>
        <v>0</v>
      </c>
      <c r="J302" s="142"/>
      <c r="K302" s="167" t="s">
        <v>886</v>
      </c>
      <c r="N302" s="1"/>
      <c r="O302" s="1"/>
      <c r="P302" s="1"/>
      <c r="Q302" s="1"/>
      <c r="R302" s="1"/>
      <c r="S302" s="1"/>
    </row>
    <row r="303" spans="1:19" s="62" customFormat="1" ht="56.25">
      <c r="A303" s="1"/>
      <c r="B303" s="171"/>
      <c r="C303" s="168"/>
      <c r="D303" s="140"/>
      <c r="E303" s="168"/>
      <c r="F303" s="168"/>
      <c r="G303" s="169"/>
      <c r="H303" s="168"/>
      <c r="I303" s="141">
        <f t="shared" si="10"/>
        <v>0</v>
      </c>
      <c r="J303" s="142"/>
      <c r="K303" s="167" t="s">
        <v>887</v>
      </c>
      <c r="N303" s="1"/>
      <c r="O303" s="1"/>
      <c r="P303" s="1"/>
      <c r="Q303" s="1"/>
      <c r="R303" s="1"/>
      <c r="S303" s="1"/>
    </row>
    <row r="304" spans="1:19" s="62" customFormat="1">
      <c r="A304" s="1"/>
      <c r="B304" s="171" t="s">
        <v>167</v>
      </c>
      <c r="C304" s="168"/>
      <c r="D304" s="140"/>
      <c r="E304" s="168">
        <v>0.4</v>
      </c>
      <c r="F304" s="168"/>
      <c r="G304" s="169"/>
      <c r="H304" s="168"/>
      <c r="I304" s="141">
        <f t="shared" si="10"/>
        <v>-0.4</v>
      </c>
      <c r="J304" s="142"/>
      <c r="K304" s="170"/>
      <c r="N304" s="1"/>
      <c r="O304" s="1"/>
      <c r="P304" s="1"/>
      <c r="Q304" s="1"/>
      <c r="R304" s="1"/>
      <c r="S304" s="1"/>
    </row>
    <row r="305" spans="1:19" s="62" customFormat="1">
      <c r="A305" s="1"/>
      <c r="B305" s="171" t="s">
        <v>168</v>
      </c>
      <c r="C305" s="168"/>
      <c r="D305" s="140"/>
      <c r="E305" s="168">
        <v>4.8</v>
      </c>
      <c r="F305" s="168"/>
      <c r="G305" s="169"/>
      <c r="H305" s="168">
        <v>1.456</v>
      </c>
      <c r="I305" s="141">
        <f t="shared" si="10"/>
        <v>-3.3439999999999999</v>
      </c>
      <c r="J305" s="142">
        <f t="shared" si="11"/>
        <v>-229.67032967032966</v>
      </c>
      <c r="K305" s="170" t="s">
        <v>888</v>
      </c>
      <c r="N305" s="1"/>
      <c r="O305" s="1"/>
      <c r="P305" s="1"/>
      <c r="Q305" s="1"/>
      <c r="R305" s="1"/>
      <c r="S305" s="1"/>
    </row>
    <row r="306" spans="1:19" s="62" customFormat="1">
      <c r="A306" s="1"/>
      <c r="B306" s="171" t="s">
        <v>169</v>
      </c>
      <c r="C306" s="168"/>
      <c r="D306" s="140"/>
      <c r="E306" s="168">
        <v>2.6</v>
      </c>
      <c r="F306" s="168"/>
      <c r="G306" s="169"/>
      <c r="H306" s="168"/>
      <c r="I306" s="141">
        <f t="shared" si="10"/>
        <v>-2.6</v>
      </c>
      <c r="J306" s="142"/>
      <c r="K306" s="170"/>
      <c r="N306" s="1"/>
      <c r="O306" s="1"/>
      <c r="P306" s="1"/>
      <c r="Q306" s="1"/>
      <c r="R306" s="1"/>
      <c r="S306" s="1"/>
    </row>
    <row r="307" spans="1:19" s="62" customFormat="1">
      <c r="A307" s="1"/>
      <c r="B307" s="171" t="s">
        <v>138</v>
      </c>
      <c r="C307" s="168"/>
      <c r="D307" s="140"/>
      <c r="E307" s="168">
        <v>3.0627</v>
      </c>
      <c r="F307" s="168"/>
      <c r="G307" s="169"/>
      <c r="H307" s="168"/>
      <c r="I307" s="141">
        <f t="shared" si="10"/>
        <v>-3.0627</v>
      </c>
      <c r="J307" s="142"/>
      <c r="K307" s="170"/>
      <c r="N307" s="1"/>
      <c r="O307" s="1"/>
      <c r="P307" s="1"/>
      <c r="Q307" s="1"/>
      <c r="R307" s="1"/>
      <c r="S307" s="1"/>
    </row>
    <row r="308" spans="1:19" s="62" customFormat="1">
      <c r="A308" s="1"/>
      <c r="B308" s="171"/>
      <c r="C308" s="168"/>
      <c r="D308" s="140"/>
      <c r="E308" s="168"/>
      <c r="F308" s="168"/>
      <c r="G308" s="169"/>
      <c r="H308" s="168"/>
      <c r="I308" s="141">
        <f t="shared" si="10"/>
        <v>0</v>
      </c>
      <c r="J308" s="142"/>
      <c r="K308" s="170"/>
      <c r="N308" s="1"/>
      <c r="O308" s="1"/>
      <c r="P308" s="1"/>
      <c r="Q308" s="1"/>
      <c r="R308" s="1"/>
      <c r="S308" s="1"/>
    </row>
    <row r="309" spans="1:19" s="62" customFormat="1">
      <c r="A309" s="1"/>
      <c r="B309" s="179" t="s">
        <v>45</v>
      </c>
      <c r="C309" s="180"/>
      <c r="D309" s="181"/>
      <c r="E309" s="180">
        <f>SUM(E310:E314)</f>
        <v>0</v>
      </c>
      <c r="F309" s="180"/>
      <c r="G309" s="181"/>
      <c r="H309" s="180">
        <f>SUM(H310:H314)</f>
        <v>0</v>
      </c>
      <c r="I309" s="182">
        <f t="shared" si="10"/>
        <v>0</v>
      </c>
      <c r="J309" s="183"/>
      <c r="K309" s="184"/>
      <c r="N309" s="1"/>
      <c r="O309" s="1"/>
      <c r="P309" s="1"/>
      <c r="Q309" s="1"/>
      <c r="R309" s="1"/>
      <c r="S309" s="1"/>
    </row>
    <row r="310" spans="1:19" s="62" customFormat="1">
      <c r="A310" s="1"/>
      <c r="B310" s="171" t="s">
        <v>106</v>
      </c>
      <c r="C310" s="168"/>
      <c r="D310" s="140"/>
      <c r="E310" s="168"/>
      <c r="F310" s="168"/>
      <c r="G310" s="169"/>
      <c r="H310" s="168"/>
      <c r="I310" s="168"/>
      <c r="J310" s="168"/>
      <c r="K310" s="170"/>
      <c r="N310" s="1"/>
      <c r="O310" s="1"/>
      <c r="P310" s="1"/>
      <c r="Q310" s="1"/>
      <c r="R310" s="1"/>
      <c r="S310" s="1"/>
    </row>
    <row r="311" spans="1:19" s="62" customFormat="1">
      <c r="A311" s="1"/>
      <c r="B311" s="171" t="s">
        <v>107</v>
      </c>
      <c r="C311" s="168"/>
      <c r="D311" s="140"/>
      <c r="E311" s="168"/>
      <c r="F311" s="168"/>
      <c r="G311" s="169"/>
      <c r="H311" s="168"/>
      <c r="I311" s="168"/>
      <c r="J311" s="168"/>
      <c r="K311" s="170"/>
      <c r="N311" s="1"/>
      <c r="O311" s="1"/>
      <c r="P311" s="1"/>
      <c r="Q311" s="1"/>
      <c r="R311" s="1"/>
      <c r="S311" s="1"/>
    </row>
    <row r="312" spans="1:19" s="62" customFormat="1">
      <c r="A312" s="1"/>
      <c r="B312" s="171" t="s">
        <v>108</v>
      </c>
      <c r="C312" s="168"/>
      <c r="D312" s="140"/>
      <c r="E312" s="168"/>
      <c r="F312" s="168"/>
      <c r="G312" s="169"/>
      <c r="H312" s="168"/>
      <c r="I312" s="168"/>
      <c r="J312" s="168"/>
      <c r="K312" s="170"/>
      <c r="N312" s="1"/>
      <c r="O312" s="1"/>
      <c r="P312" s="1"/>
      <c r="Q312" s="1"/>
      <c r="R312" s="1"/>
      <c r="S312" s="1"/>
    </row>
    <row r="313" spans="1:19" s="62" customFormat="1">
      <c r="A313" s="1"/>
      <c r="B313" s="171" t="s">
        <v>109</v>
      </c>
      <c r="C313" s="168"/>
      <c r="D313" s="140"/>
      <c r="E313" s="168"/>
      <c r="F313" s="168"/>
      <c r="G313" s="169"/>
      <c r="H313" s="168"/>
      <c r="I313" s="168"/>
      <c r="J313" s="168"/>
      <c r="K313" s="170"/>
      <c r="N313" s="1"/>
      <c r="O313" s="1"/>
      <c r="P313" s="1"/>
      <c r="Q313" s="1"/>
      <c r="R313" s="1"/>
      <c r="S313" s="1"/>
    </row>
    <row r="314" spans="1:19" s="62" customFormat="1">
      <c r="A314" s="1"/>
      <c r="B314" s="171" t="s">
        <v>111</v>
      </c>
      <c r="C314" s="168"/>
      <c r="D314" s="140"/>
      <c r="E314" s="168"/>
      <c r="F314" s="168"/>
      <c r="G314" s="169"/>
      <c r="H314" s="168"/>
      <c r="I314" s="168"/>
      <c r="J314" s="168"/>
      <c r="K314" s="170"/>
      <c r="N314" s="1"/>
      <c r="O314" s="1"/>
      <c r="P314" s="1"/>
      <c r="Q314" s="1"/>
      <c r="R314" s="1"/>
      <c r="S314" s="1"/>
    </row>
    <row r="315" spans="1:19" s="62" customFormat="1">
      <c r="A315" s="1"/>
      <c r="B315" s="221" t="s">
        <v>46</v>
      </c>
      <c r="C315" s="222"/>
      <c r="D315" s="223"/>
      <c r="E315" s="222">
        <f>+E316+E327</f>
        <v>0</v>
      </c>
      <c r="F315" s="222"/>
      <c r="G315" s="223"/>
      <c r="H315" s="222">
        <f>+H316+H327</f>
        <v>0</v>
      </c>
      <c r="I315" s="226"/>
      <c r="J315" s="226"/>
      <c r="K315" s="226"/>
      <c r="N315" s="1"/>
      <c r="O315" s="1"/>
      <c r="P315" s="1"/>
      <c r="Q315" s="1"/>
      <c r="R315" s="1"/>
      <c r="S315" s="1"/>
    </row>
    <row r="316" spans="1:19" s="62" customFormat="1">
      <c r="A316" s="1"/>
      <c r="B316" s="179" t="s">
        <v>47</v>
      </c>
      <c r="C316" s="180"/>
      <c r="D316" s="181"/>
      <c r="E316" s="180">
        <f>+E318</f>
        <v>0</v>
      </c>
      <c r="F316" s="180"/>
      <c r="G316" s="181"/>
      <c r="H316" s="180">
        <f>+H318</f>
        <v>0</v>
      </c>
      <c r="I316" s="184"/>
      <c r="J316" s="184"/>
      <c r="K316" s="184"/>
      <c r="N316" s="1"/>
      <c r="O316" s="1"/>
      <c r="P316" s="1"/>
      <c r="Q316" s="1"/>
      <c r="R316" s="1"/>
      <c r="S316" s="1"/>
    </row>
    <row r="317" spans="1:19" s="62" customFormat="1">
      <c r="A317" s="1"/>
      <c r="B317" s="167" t="s">
        <v>19</v>
      </c>
      <c r="C317" s="168"/>
      <c r="D317" s="140"/>
      <c r="E317" s="168"/>
      <c r="F317" s="168"/>
      <c r="G317" s="169"/>
      <c r="H317" s="168"/>
      <c r="I317" s="170"/>
      <c r="J317" s="170"/>
      <c r="K317" s="170"/>
      <c r="N317" s="1"/>
      <c r="O317" s="1"/>
      <c r="P317" s="1"/>
      <c r="Q317" s="1"/>
      <c r="R317" s="1"/>
      <c r="S317" s="1"/>
    </row>
    <row r="318" spans="1:19" s="62" customFormat="1">
      <c r="A318" s="1"/>
      <c r="B318" s="216" t="s">
        <v>110</v>
      </c>
      <c r="C318" s="133"/>
      <c r="D318" s="134"/>
      <c r="E318" s="133"/>
      <c r="F318" s="133"/>
      <c r="G318" s="134"/>
      <c r="H318" s="133"/>
      <c r="I318" s="137"/>
      <c r="J318" s="137"/>
      <c r="K318" s="137"/>
      <c r="N318" s="1"/>
      <c r="O318" s="1"/>
      <c r="P318" s="1"/>
      <c r="Q318" s="1"/>
      <c r="R318" s="1"/>
      <c r="S318" s="1"/>
    </row>
    <row r="319" spans="1:19" s="62" customFormat="1">
      <c r="A319" s="1"/>
      <c r="B319" s="171" t="s">
        <v>17</v>
      </c>
      <c r="C319" s="168"/>
      <c r="D319" s="140"/>
      <c r="E319" s="168"/>
      <c r="F319" s="168"/>
      <c r="G319" s="169"/>
      <c r="H319" s="168"/>
      <c r="I319" s="168"/>
      <c r="J319" s="168"/>
      <c r="K319" s="170"/>
      <c r="N319" s="1"/>
      <c r="O319" s="1"/>
      <c r="P319" s="1"/>
      <c r="Q319" s="1"/>
      <c r="R319" s="1"/>
      <c r="S319" s="1"/>
    </row>
    <row r="320" spans="1:19" s="62" customFormat="1">
      <c r="A320" s="1"/>
      <c r="B320" s="171" t="s">
        <v>18</v>
      </c>
      <c r="C320" s="168"/>
      <c r="D320" s="140"/>
      <c r="E320" s="168"/>
      <c r="F320" s="168"/>
      <c r="G320" s="169"/>
      <c r="H320" s="168"/>
      <c r="I320" s="168"/>
      <c r="J320" s="168"/>
      <c r="K320" s="170"/>
      <c r="N320" s="1"/>
      <c r="O320" s="1"/>
      <c r="P320" s="1"/>
      <c r="Q320" s="1"/>
      <c r="R320" s="1"/>
      <c r="S320" s="1"/>
    </row>
    <row r="321" spans="1:19" s="62" customFormat="1">
      <c r="A321" s="1"/>
      <c r="B321" s="167" t="s">
        <v>22</v>
      </c>
      <c r="C321" s="168"/>
      <c r="D321" s="140"/>
      <c r="E321" s="168"/>
      <c r="F321" s="168"/>
      <c r="G321" s="169"/>
      <c r="H321" s="168"/>
      <c r="I321" s="168"/>
      <c r="J321" s="168"/>
      <c r="K321" s="170"/>
      <c r="N321" s="1"/>
      <c r="O321" s="1"/>
      <c r="P321" s="1"/>
      <c r="Q321" s="1"/>
      <c r="R321" s="1"/>
      <c r="S321" s="1"/>
    </row>
    <row r="322" spans="1:19" s="62" customFormat="1">
      <c r="A322" s="1"/>
      <c r="B322" s="167" t="s">
        <v>48</v>
      </c>
      <c r="C322" s="168"/>
      <c r="D322" s="140"/>
      <c r="E322" s="168"/>
      <c r="F322" s="168"/>
      <c r="G322" s="169"/>
      <c r="H322" s="168"/>
      <c r="I322" s="168"/>
      <c r="J322" s="168"/>
      <c r="K322" s="170"/>
      <c r="N322" s="1"/>
      <c r="O322" s="1"/>
      <c r="P322" s="1"/>
      <c r="Q322" s="1"/>
      <c r="R322" s="1"/>
      <c r="S322" s="1"/>
    </row>
    <row r="323" spans="1:19" s="62" customFormat="1">
      <c r="A323" s="1"/>
      <c r="B323" s="171" t="s">
        <v>23</v>
      </c>
      <c r="C323" s="168"/>
      <c r="D323" s="140"/>
      <c r="E323" s="168"/>
      <c r="F323" s="168"/>
      <c r="G323" s="169"/>
      <c r="H323" s="168"/>
      <c r="I323" s="168"/>
      <c r="J323" s="168"/>
      <c r="K323" s="170"/>
      <c r="N323" s="1"/>
      <c r="O323" s="1"/>
      <c r="P323" s="1"/>
      <c r="Q323" s="1"/>
      <c r="R323" s="1"/>
      <c r="S323" s="1"/>
    </row>
    <row r="324" spans="1:19" s="62" customFormat="1">
      <c r="A324" s="1"/>
      <c r="B324" s="167" t="s">
        <v>20</v>
      </c>
      <c r="C324" s="168"/>
      <c r="D324" s="140"/>
      <c r="E324" s="168"/>
      <c r="F324" s="168"/>
      <c r="G324" s="169"/>
      <c r="H324" s="168"/>
      <c r="I324" s="168"/>
      <c r="J324" s="168"/>
      <c r="K324" s="170"/>
      <c r="N324" s="1"/>
      <c r="O324" s="1"/>
      <c r="P324" s="1"/>
      <c r="Q324" s="1"/>
      <c r="R324" s="1"/>
      <c r="S324" s="1"/>
    </row>
    <row r="325" spans="1:19" s="62" customFormat="1">
      <c r="A325" s="1"/>
      <c r="B325" s="167" t="s">
        <v>48</v>
      </c>
      <c r="C325" s="168"/>
      <c r="D325" s="140"/>
      <c r="E325" s="168"/>
      <c r="F325" s="168"/>
      <c r="G325" s="169"/>
      <c r="H325" s="168"/>
      <c r="I325" s="168"/>
      <c r="J325" s="168"/>
      <c r="K325" s="170"/>
      <c r="N325" s="1"/>
      <c r="O325" s="1"/>
      <c r="P325" s="1"/>
      <c r="Q325" s="1"/>
      <c r="R325" s="1"/>
      <c r="S325" s="1"/>
    </row>
    <row r="326" spans="1:19" s="62" customFormat="1">
      <c r="A326" s="1"/>
      <c r="B326" s="171" t="s">
        <v>23</v>
      </c>
      <c r="C326" s="168"/>
      <c r="D326" s="140"/>
      <c r="E326" s="168"/>
      <c r="F326" s="168"/>
      <c r="G326" s="169"/>
      <c r="H326" s="168"/>
      <c r="I326" s="168"/>
      <c r="J326" s="168"/>
      <c r="K326" s="170"/>
      <c r="N326" s="1"/>
      <c r="O326" s="1"/>
      <c r="P326" s="1"/>
      <c r="Q326" s="1"/>
      <c r="R326" s="1"/>
      <c r="S326" s="1"/>
    </row>
    <row r="327" spans="1:19" s="62" customFormat="1">
      <c r="A327" s="1"/>
      <c r="B327" s="179" t="s">
        <v>49</v>
      </c>
      <c r="C327" s="180"/>
      <c r="D327" s="181"/>
      <c r="E327" s="180">
        <f>+E329</f>
        <v>0</v>
      </c>
      <c r="F327" s="180"/>
      <c r="G327" s="181"/>
      <c r="H327" s="180">
        <f>+H329</f>
        <v>0</v>
      </c>
      <c r="I327" s="184"/>
      <c r="J327" s="184"/>
      <c r="K327" s="184"/>
      <c r="N327" s="1"/>
      <c r="O327" s="1"/>
      <c r="P327" s="1"/>
      <c r="Q327" s="1"/>
      <c r="R327" s="1"/>
      <c r="S327" s="1"/>
    </row>
    <row r="328" spans="1:19" s="62" customFormat="1">
      <c r="A328" s="1"/>
      <c r="B328" s="167" t="s">
        <v>19</v>
      </c>
      <c r="C328" s="168"/>
      <c r="D328" s="140"/>
      <c r="E328" s="168"/>
      <c r="F328" s="168"/>
      <c r="G328" s="169"/>
      <c r="H328" s="168"/>
      <c r="I328" s="170"/>
      <c r="J328" s="170"/>
      <c r="K328" s="170"/>
      <c r="N328" s="1"/>
      <c r="O328" s="1"/>
      <c r="P328" s="1"/>
      <c r="Q328" s="1"/>
      <c r="R328" s="1"/>
      <c r="S328" s="1"/>
    </row>
    <row r="329" spans="1:19" s="62" customFormat="1">
      <c r="A329" s="1"/>
      <c r="B329" s="216" t="s">
        <v>50</v>
      </c>
      <c r="C329" s="133"/>
      <c r="D329" s="134"/>
      <c r="E329" s="133"/>
      <c r="F329" s="133"/>
      <c r="G329" s="134"/>
      <c r="H329" s="133"/>
      <c r="I329" s="137"/>
      <c r="J329" s="137"/>
      <c r="K329" s="137"/>
      <c r="N329" s="1"/>
      <c r="O329" s="1"/>
      <c r="P329" s="1"/>
      <c r="Q329" s="1"/>
      <c r="R329" s="1"/>
      <c r="S329" s="1"/>
    </row>
    <row r="330" spans="1:19" s="62" customFormat="1" ht="27.75" customHeight="1">
      <c r="A330" s="16"/>
      <c r="B330" s="171" t="s">
        <v>17</v>
      </c>
      <c r="C330" s="168"/>
      <c r="D330" s="140"/>
      <c r="E330" s="168"/>
      <c r="F330" s="168"/>
      <c r="G330" s="169"/>
      <c r="H330" s="168"/>
      <c r="I330" s="168"/>
      <c r="J330" s="168"/>
      <c r="K330" s="170"/>
      <c r="N330" s="1"/>
      <c r="O330" s="1"/>
      <c r="P330" s="1"/>
      <c r="Q330" s="1"/>
      <c r="R330" s="1"/>
      <c r="S330" s="1"/>
    </row>
    <row r="331" spans="1:19" s="62" customFormat="1" ht="27.75" customHeight="1">
      <c r="A331" s="1"/>
      <c r="B331" s="171" t="s">
        <v>18</v>
      </c>
      <c r="C331" s="168"/>
      <c r="D331" s="140"/>
      <c r="E331" s="168"/>
      <c r="F331" s="168"/>
      <c r="G331" s="169"/>
      <c r="H331" s="168"/>
      <c r="I331" s="168"/>
      <c r="J331" s="168"/>
      <c r="K331" s="170"/>
      <c r="N331" s="1"/>
      <c r="O331" s="1"/>
      <c r="P331" s="1"/>
      <c r="Q331" s="1"/>
      <c r="R331" s="1"/>
      <c r="S331" s="1"/>
    </row>
    <row r="332" spans="1:19" s="62" customFormat="1">
      <c r="A332" s="1"/>
      <c r="B332" s="167" t="s">
        <v>22</v>
      </c>
      <c r="C332" s="168"/>
      <c r="D332" s="140"/>
      <c r="E332" s="168"/>
      <c r="F332" s="168"/>
      <c r="G332" s="169"/>
      <c r="H332" s="168"/>
      <c r="I332" s="168"/>
      <c r="J332" s="168"/>
      <c r="K332" s="170"/>
      <c r="N332" s="1"/>
      <c r="O332" s="1"/>
      <c r="P332" s="1"/>
      <c r="Q332" s="1"/>
      <c r="R332" s="1"/>
      <c r="S332" s="1"/>
    </row>
    <row r="333" spans="1:19" s="62" customFormat="1">
      <c r="A333" s="1"/>
      <c r="B333" s="167" t="s">
        <v>51</v>
      </c>
      <c r="C333" s="168"/>
      <c r="D333" s="140"/>
      <c r="E333" s="168"/>
      <c r="F333" s="168"/>
      <c r="G333" s="169"/>
      <c r="H333" s="168"/>
      <c r="I333" s="168"/>
      <c r="J333" s="168"/>
      <c r="K333" s="170"/>
      <c r="N333" s="1"/>
      <c r="O333" s="1"/>
      <c r="P333" s="1"/>
      <c r="Q333" s="1"/>
      <c r="R333" s="1"/>
      <c r="S333" s="1"/>
    </row>
    <row r="334" spans="1:19" s="62" customFormat="1">
      <c r="A334" s="1"/>
      <c r="B334" s="171" t="s">
        <v>23</v>
      </c>
      <c r="C334" s="168"/>
      <c r="D334" s="140"/>
      <c r="E334" s="168"/>
      <c r="F334" s="168"/>
      <c r="G334" s="169"/>
      <c r="H334" s="168"/>
      <c r="I334" s="168"/>
      <c r="J334" s="168"/>
      <c r="K334" s="170"/>
      <c r="N334" s="1"/>
      <c r="O334" s="1"/>
      <c r="P334" s="1"/>
      <c r="Q334" s="1"/>
      <c r="R334" s="1"/>
      <c r="S334" s="1"/>
    </row>
    <row r="335" spans="1:19" s="62" customFormat="1">
      <c r="A335" s="1"/>
      <c r="B335" s="167" t="s">
        <v>20</v>
      </c>
      <c r="C335" s="168"/>
      <c r="D335" s="140"/>
      <c r="E335" s="168"/>
      <c r="F335" s="168"/>
      <c r="G335" s="169"/>
      <c r="H335" s="168"/>
      <c r="I335" s="168"/>
      <c r="J335" s="168"/>
      <c r="K335" s="170"/>
      <c r="N335" s="1"/>
      <c r="O335" s="1"/>
      <c r="P335" s="1"/>
      <c r="Q335" s="1"/>
      <c r="R335" s="1"/>
      <c r="S335" s="1"/>
    </row>
    <row r="336" spans="1:19" s="62" customFormat="1">
      <c r="A336" s="1"/>
      <c r="B336" s="167" t="s">
        <v>51</v>
      </c>
      <c r="C336" s="168"/>
      <c r="D336" s="140"/>
      <c r="E336" s="168"/>
      <c r="F336" s="168"/>
      <c r="G336" s="169"/>
      <c r="H336" s="168"/>
      <c r="I336" s="168"/>
      <c r="J336" s="168"/>
      <c r="K336" s="170"/>
      <c r="N336" s="1"/>
      <c r="O336" s="1"/>
      <c r="P336" s="1"/>
      <c r="Q336" s="1"/>
      <c r="R336" s="1"/>
      <c r="S336" s="1"/>
    </row>
    <row r="337" spans="1:19" s="62" customFormat="1">
      <c r="A337" s="1"/>
      <c r="B337" s="171" t="s">
        <v>23</v>
      </c>
      <c r="C337" s="168"/>
      <c r="D337" s="140"/>
      <c r="E337" s="168"/>
      <c r="F337" s="168"/>
      <c r="G337" s="169"/>
      <c r="H337" s="168"/>
      <c r="I337" s="168"/>
      <c r="J337" s="168"/>
      <c r="K337" s="170"/>
      <c r="N337" s="1"/>
      <c r="O337" s="1"/>
      <c r="P337" s="1"/>
      <c r="Q337" s="1"/>
      <c r="R337" s="1"/>
      <c r="S337" s="1"/>
    </row>
    <row r="338" spans="1:19" s="62" customFormat="1">
      <c r="A338" s="1"/>
      <c r="B338" s="216" t="s">
        <v>53</v>
      </c>
      <c r="C338" s="133"/>
      <c r="D338" s="134"/>
      <c r="E338" s="133">
        <f>SUM(E340:E346)</f>
        <v>669.60709999999995</v>
      </c>
      <c r="F338" s="133"/>
      <c r="G338" s="134"/>
      <c r="H338" s="133">
        <f>SUM(H340:H346)</f>
        <v>1286.56</v>
      </c>
      <c r="I338" s="135">
        <f t="shared" ref="I338:I369" si="12">+H338-E338</f>
        <v>616.9529</v>
      </c>
      <c r="J338" s="136">
        <f t="shared" si="11"/>
        <v>47.953682688720313</v>
      </c>
      <c r="K338" s="137"/>
      <c r="N338" s="1"/>
      <c r="O338" s="1"/>
      <c r="P338" s="1"/>
      <c r="Q338" s="1"/>
      <c r="R338" s="1"/>
      <c r="S338" s="1"/>
    </row>
    <row r="339" spans="1:19" s="62" customFormat="1">
      <c r="A339" s="1"/>
      <c r="B339" s="167" t="s">
        <v>52</v>
      </c>
      <c r="C339" s="168"/>
      <c r="D339" s="140"/>
      <c r="E339" s="168"/>
      <c r="F339" s="168"/>
      <c r="G339" s="169"/>
      <c r="H339" s="168"/>
      <c r="I339" s="168"/>
      <c r="J339" s="168"/>
      <c r="K339" s="170"/>
      <c r="N339" s="1"/>
      <c r="O339" s="1"/>
      <c r="P339" s="1"/>
      <c r="Q339" s="1"/>
      <c r="R339" s="1"/>
      <c r="S339" s="1"/>
    </row>
    <row r="340" spans="1:19" s="62" customFormat="1" ht="56.25">
      <c r="A340" s="1"/>
      <c r="B340" s="167" t="s">
        <v>889</v>
      </c>
      <c r="C340" s="168"/>
      <c r="D340" s="140"/>
      <c r="E340" s="168">
        <v>31.2532</v>
      </c>
      <c r="F340" s="168"/>
      <c r="G340" s="169"/>
      <c r="H340" s="139">
        <v>68.760000000000005</v>
      </c>
      <c r="I340" s="141">
        <f t="shared" si="12"/>
        <v>37.506800000000005</v>
      </c>
      <c r="J340" s="142">
        <f t="shared" si="11"/>
        <v>54.547411285631185</v>
      </c>
      <c r="K340" s="176"/>
      <c r="N340" s="1"/>
      <c r="O340" s="1"/>
      <c r="P340" s="1"/>
      <c r="Q340" s="1"/>
      <c r="R340" s="1"/>
      <c r="S340" s="1"/>
    </row>
    <row r="341" spans="1:19" s="62" customFormat="1" ht="37.5">
      <c r="A341" s="1"/>
      <c r="B341" s="167" t="s">
        <v>172</v>
      </c>
      <c r="C341" s="168"/>
      <c r="D341" s="140"/>
      <c r="E341" s="168">
        <v>11.0268</v>
      </c>
      <c r="F341" s="168"/>
      <c r="G341" s="169"/>
      <c r="H341" s="139"/>
      <c r="I341" s="141">
        <f t="shared" si="12"/>
        <v>-11.0268</v>
      </c>
      <c r="J341" s="142"/>
      <c r="K341" s="170"/>
      <c r="N341" s="1"/>
      <c r="O341" s="1"/>
      <c r="P341" s="1"/>
      <c r="Q341" s="1"/>
      <c r="R341" s="1"/>
      <c r="S341" s="1"/>
    </row>
    <row r="342" spans="1:19" s="62" customFormat="1" ht="37.5">
      <c r="A342" s="1"/>
      <c r="B342" s="167" t="s">
        <v>173</v>
      </c>
      <c r="C342" s="168"/>
      <c r="D342" s="140"/>
      <c r="E342" s="168">
        <v>614.4</v>
      </c>
      <c r="F342" s="168"/>
      <c r="G342" s="169"/>
      <c r="H342" s="139">
        <v>1200</v>
      </c>
      <c r="I342" s="141">
        <f t="shared" si="12"/>
        <v>585.6</v>
      </c>
      <c r="J342" s="142">
        <f t="shared" si="11"/>
        <v>48.8</v>
      </c>
      <c r="K342" s="167" t="s">
        <v>890</v>
      </c>
      <c r="N342" s="1"/>
      <c r="O342" s="1"/>
      <c r="P342" s="1"/>
      <c r="Q342" s="1"/>
      <c r="R342" s="1"/>
      <c r="S342" s="1"/>
    </row>
    <row r="343" spans="1:19" s="62" customFormat="1" ht="56.25">
      <c r="A343" s="1"/>
      <c r="B343" s="167"/>
      <c r="C343" s="168"/>
      <c r="D343" s="140"/>
      <c r="E343" s="168"/>
      <c r="F343" s="168"/>
      <c r="G343" s="169"/>
      <c r="H343" s="139"/>
      <c r="I343" s="141">
        <f t="shared" si="12"/>
        <v>0</v>
      </c>
      <c r="J343" s="142"/>
      <c r="K343" s="167" t="s">
        <v>891</v>
      </c>
      <c r="N343" s="1"/>
      <c r="O343" s="1"/>
      <c r="P343" s="1"/>
      <c r="Q343" s="1"/>
      <c r="R343" s="1"/>
      <c r="S343" s="1"/>
    </row>
    <row r="344" spans="1:19" s="62" customFormat="1" ht="56.25">
      <c r="A344" s="1"/>
      <c r="B344" s="167"/>
      <c r="C344" s="168"/>
      <c r="D344" s="140"/>
      <c r="E344" s="168"/>
      <c r="F344" s="168"/>
      <c r="G344" s="169"/>
      <c r="H344" s="139"/>
      <c r="I344" s="141">
        <f t="shared" si="12"/>
        <v>0</v>
      </c>
      <c r="J344" s="142"/>
      <c r="K344" s="167" t="s">
        <v>892</v>
      </c>
      <c r="N344" s="1"/>
      <c r="O344" s="1"/>
      <c r="P344" s="1"/>
      <c r="Q344" s="1"/>
      <c r="R344" s="1"/>
      <c r="S344" s="1"/>
    </row>
    <row r="345" spans="1:19" s="62" customFormat="1" ht="37.5">
      <c r="A345" s="1"/>
      <c r="B345" s="167"/>
      <c r="C345" s="168"/>
      <c r="D345" s="140"/>
      <c r="E345" s="168"/>
      <c r="F345" s="168"/>
      <c r="G345" s="169"/>
      <c r="H345" s="139"/>
      <c r="I345" s="141">
        <f t="shared" si="12"/>
        <v>0</v>
      </c>
      <c r="J345" s="142"/>
      <c r="K345" s="167" t="s">
        <v>893</v>
      </c>
      <c r="N345" s="1"/>
      <c r="O345" s="1"/>
      <c r="P345" s="1"/>
      <c r="Q345" s="1"/>
      <c r="R345" s="1"/>
      <c r="S345" s="1"/>
    </row>
    <row r="346" spans="1:19" ht="93.75">
      <c r="B346" s="167" t="s">
        <v>174</v>
      </c>
      <c r="C346" s="168"/>
      <c r="D346" s="140"/>
      <c r="E346" s="168">
        <v>12.927099999999999</v>
      </c>
      <c r="F346" s="168"/>
      <c r="G346" s="169"/>
      <c r="H346" s="139">
        <v>17.8</v>
      </c>
      <c r="I346" s="141">
        <f t="shared" si="12"/>
        <v>4.8729000000000013</v>
      </c>
      <c r="J346" s="142">
        <f t="shared" si="11"/>
        <v>27.375842696629221</v>
      </c>
      <c r="K346" s="167" t="s">
        <v>894</v>
      </c>
    </row>
    <row r="347" spans="1:19">
      <c r="B347" s="185" t="s">
        <v>56</v>
      </c>
      <c r="C347" s="145"/>
      <c r="D347" s="146"/>
      <c r="E347" s="145">
        <f>SUM(E348:E349)</f>
        <v>6.8900000000000006</v>
      </c>
      <c r="F347" s="145"/>
      <c r="G347" s="146"/>
      <c r="H347" s="145">
        <f>SUM(H348:H353)</f>
        <v>72</v>
      </c>
      <c r="I347" s="147">
        <f t="shared" si="12"/>
        <v>65.11</v>
      </c>
      <c r="J347" s="148">
        <f t="shared" si="11"/>
        <v>90.430555555555557</v>
      </c>
      <c r="K347" s="149"/>
    </row>
    <row r="348" spans="1:19" ht="37.5">
      <c r="B348" s="167" t="s">
        <v>895</v>
      </c>
      <c r="C348" s="168"/>
      <c r="D348" s="140"/>
      <c r="E348" s="168">
        <v>3.2</v>
      </c>
      <c r="F348" s="168"/>
      <c r="G348" s="169"/>
      <c r="H348" s="139">
        <v>3</v>
      </c>
      <c r="I348" s="141">
        <f t="shared" si="12"/>
        <v>-0.20000000000000018</v>
      </c>
      <c r="J348" s="142">
        <f t="shared" si="11"/>
        <v>-6.6666666666666723</v>
      </c>
      <c r="K348" s="170"/>
    </row>
    <row r="349" spans="1:19" ht="37.5">
      <c r="B349" s="167" t="s">
        <v>896</v>
      </c>
      <c r="C349" s="168"/>
      <c r="D349" s="140"/>
      <c r="E349" s="168">
        <v>3.69</v>
      </c>
      <c r="F349" s="168"/>
      <c r="G349" s="169"/>
      <c r="H349" s="139">
        <v>4</v>
      </c>
      <c r="I349" s="141">
        <f t="shared" si="12"/>
        <v>0.31000000000000005</v>
      </c>
      <c r="J349" s="142">
        <f t="shared" si="11"/>
        <v>7.7500000000000018</v>
      </c>
      <c r="K349" s="170"/>
    </row>
    <row r="350" spans="1:19" ht="37.5">
      <c r="B350" s="167" t="s">
        <v>897</v>
      </c>
      <c r="C350" s="168"/>
      <c r="D350" s="140"/>
      <c r="E350" s="168"/>
      <c r="F350" s="168"/>
      <c r="G350" s="169"/>
      <c r="H350" s="139">
        <v>1.2</v>
      </c>
      <c r="I350" s="141">
        <f t="shared" si="12"/>
        <v>1.2</v>
      </c>
      <c r="J350" s="142">
        <f t="shared" si="11"/>
        <v>100</v>
      </c>
      <c r="K350" s="170"/>
    </row>
    <row r="351" spans="1:19" ht="51" customHeight="1">
      <c r="B351" s="167" t="s">
        <v>898</v>
      </c>
      <c r="C351" s="168"/>
      <c r="D351" s="140"/>
      <c r="E351" s="168"/>
      <c r="F351" s="168"/>
      <c r="G351" s="169"/>
      <c r="H351" s="139">
        <v>1.8</v>
      </c>
      <c r="I351" s="141">
        <f t="shared" si="12"/>
        <v>1.8</v>
      </c>
      <c r="J351" s="142">
        <f t="shared" si="11"/>
        <v>100</v>
      </c>
      <c r="K351" s="170"/>
      <c r="L351" s="88"/>
      <c r="M351" s="89"/>
      <c r="N351" s="21"/>
      <c r="O351" s="89"/>
      <c r="P351" s="89"/>
      <c r="Q351" s="25"/>
      <c r="R351" s="89"/>
      <c r="S351" s="77"/>
    </row>
    <row r="352" spans="1:19" ht="75" customHeight="1">
      <c r="B352" s="167" t="s">
        <v>925</v>
      </c>
      <c r="C352" s="168"/>
      <c r="D352" s="140"/>
      <c r="E352" s="168"/>
      <c r="F352" s="168"/>
      <c r="G352" s="169"/>
      <c r="H352" s="139">
        <v>32.5</v>
      </c>
      <c r="I352" s="141">
        <f t="shared" si="12"/>
        <v>32.5</v>
      </c>
      <c r="J352" s="142">
        <f t="shared" si="11"/>
        <v>100</v>
      </c>
      <c r="K352" s="170"/>
      <c r="L352" s="88"/>
      <c r="M352" s="89"/>
      <c r="N352" s="21"/>
      <c r="O352" s="89"/>
      <c r="P352" s="89"/>
      <c r="Q352" s="25"/>
      <c r="R352" s="89"/>
      <c r="S352" s="77"/>
    </row>
    <row r="353" spans="1:19" ht="53.25" customHeight="1">
      <c r="B353" s="167" t="s">
        <v>926</v>
      </c>
      <c r="C353" s="168"/>
      <c r="D353" s="140"/>
      <c r="E353" s="168"/>
      <c r="F353" s="168"/>
      <c r="G353" s="169"/>
      <c r="H353" s="139">
        <v>29.5</v>
      </c>
      <c r="I353" s="141">
        <f t="shared" si="12"/>
        <v>29.5</v>
      </c>
      <c r="J353" s="142">
        <f t="shared" si="11"/>
        <v>100</v>
      </c>
      <c r="K353" s="170"/>
      <c r="L353" s="88"/>
      <c r="M353" s="89"/>
      <c r="N353" s="21"/>
      <c r="O353" s="89"/>
      <c r="P353" s="89"/>
      <c r="Q353" s="25"/>
      <c r="R353" s="89"/>
      <c r="S353" s="77"/>
    </row>
    <row r="354" spans="1:19" ht="37.5">
      <c r="B354" s="202" t="s">
        <v>176</v>
      </c>
      <c r="C354" s="172"/>
      <c r="D354" s="173"/>
      <c r="E354" s="139">
        <f>+E358+E391+E414+E420</f>
        <v>10.2675</v>
      </c>
      <c r="F354" s="172"/>
      <c r="G354" s="173"/>
      <c r="H354" s="139">
        <f>+H358+H391+H414+H420</f>
        <v>0</v>
      </c>
      <c r="I354" s="141">
        <f t="shared" si="12"/>
        <v>-10.2675</v>
      </c>
      <c r="J354" s="142">
        <v>0</v>
      </c>
      <c r="K354" s="170"/>
    </row>
    <row r="355" spans="1:19">
      <c r="B355" s="266" t="s">
        <v>24</v>
      </c>
      <c r="C355" s="168"/>
      <c r="D355" s="169"/>
      <c r="E355" s="172"/>
      <c r="F355" s="139"/>
      <c r="G355" s="140"/>
      <c r="H355" s="172"/>
      <c r="I355" s="165"/>
      <c r="J355" s="166"/>
      <c r="K355" s="170"/>
    </row>
    <row r="356" spans="1:19" ht="32.25">
      <c r="B356" s="231" t="s">
        <v>68</v>
      </c>
      <c r="C356" s="267" t="s">
        <v>25</v>
      </c>
      <c r="D356" s="268"/>
      <c r="E356" s="267" t="s">
        <v>58</v>
      </c>
      <c r="F356" s="267"/>
      <c r="G356" s="268" t="s">
        <v>26</v>
      </c>
      <c r="H356" s="267"/>
      <c r="I356" s="165"/>
      <c r="J356" s="166"/>
      <c r="K356" s="269"/>
    </row>
    <row r="357" spans="1:19" ht="32.25">
      <c r="B357" s="231"/>
      <c r="C357" s="267" t="s">
        <v>60</v>
      </c>
      <c r="D357" s="268"/>
      <c r="E357" s="267" t="s">
        <v>62</v>
      </c>
      <c r="F357" s="267"/>
      <c r="G357" s="268" t="s">
        <v>61</v>
      </c>
      <c r="H357" s="267"/>
      <c r="I357" s="141"/>
      <c r="J357" s="142"/>
      <c r="K357" s="269"/>
    </row>
    <row r="358" spans="1:19">
      <c r="B358" s="177" t="s">
        <v>38</v>
      </c>
      <c r="C358" s="121"/>
      <c r="D358" s="122"/>
      <c r="E358" s="121">
        <f>+E359+E385</f>
        <v>10.2675</v>
      </c>
      <c r="F358" s="121"/>
      <c r="G358" s="122"/>
      <c r="H358" s="121">
        <f>+H359+H385</f>
        <v>0</v>
      </c>
      <c r="I358" s="123">
        <f t="shared" si="12"/>
        <v>-10.2675</v>
      </c>
      <c r="J358" s="124"/>
      <c r="K358" s="125"/>
    </row>
    <row r="359" spans="1:19">
      <c r="B359" s="179" t="s">
        <v>41</v>
      </c>
      <c r="C359" s="180"/>
      <c r="D359" s="181"/>
      <c r="E359" s="180">
        <f>+E360+E363+E377</f>
        <v>10.2675</v>
      </c>
      <c r="F359" s="180"/>
      <c r="G359" s="181"/>
      <c r="H359" s="180">
        <f>+H360+H363+H377</f>
        <v>0</v>
      </c>
      <c r="I359" s="182">
        <f t="shared" si="12"/>
        <v>-10.2675</v>
      </c>
      <c r="J359" s="183"/>
      <c r="K359" s="184"/>
    </row>
    <row r="360" spans="1:19">
      <c r="B360" s="216" t="s">
        <v>42</v>
      </c>
      <c r="C360" s="133"/>
      <c r="D360" s="134"/>
      <c r="E360" s="133">
        <f>SUM(E361:E361)</f>
        <v>0</v>
      </c>
      <c r="F360" s="133"/>
      <c r="G360" s="134"/>
      <c r="H360" s="133">
        <f>SUM(H361:H361)</f>
        <v>0</v>
      </c>
      <c r="I360" s="135">
        <f t="shared" si="12"/>
        <v>0</v>
      </c>
      <c r="J360" s="136"/>
      <c r="K360" s="137"/>
    </row>
    <row r="361" spans="1:19">
      <c r="B361" s="171" t="s">
        <v>112</v>
      </c>
      <c r="C361" s="168"/>
      <c r="D361" s="140"/>
      <c r="E361" s="168"/>
      <c r="F361" s="168"/>
      <c r="G361" s="169"/>
      <c r="H361" s="168"/>
      <c r="I361" s="168"/>
      <c r="J361" s="168"/>
      <c r="K361" s="170"/>
    </row>
    <row r="362" spans="1:19" s="62" customFormat="1">
      <c r="A362" s="1"/>
      <c r="B362" s="171"/>
      <c r="C362" s="168"/>
      <c r="D362" s="140"/>
      <c r="E362" s="168"/>
      <c r="F362" s="168"/>
      <c r="G362" s="169"/>
      <c r="H362" s="168"/>
      <c r="I362" s="168"/>
      <c r="J362" s="168"/>
      <c r="K362" s="170"/>
      <c r="N362" s="1"/>
      <c r="O362" s="1"/>
      <c r="P362" s="1"/>
      <c r="Q362" s="1"/>
      <c r="R362" s="1"/>
      <c r="S362" s="1"/>
    </row>
    <row r="363" spans="1:19" s="62" customFormat="1">
      <c r="A363" s="1"/>
      <c r="B363" s="216" t="s">
        <v>43</v>
      </c>
      <c r="C363" s="133"/>
      <c r="D363" s="134"/>
      <c r="E363" s="133">
        <f>SUM(E365:E370)</f>
        <v>10.2675</v>
      </c>
      <c r="F363" s="133"/>
      <c r="G363" s="134"/>
      <c r="H363" s="133">
        <f>SUM(H365:H370)</f>
        <v>0</v>
      </c>
      <c r="I363" s="135">
        <f t="shared" si="12"/>
        <v>-10.2675</v>
      </c>
      <c r="J363" s="136"/>
      <c r="K363" s="137"/>
      <c r="N363" s="1"/>
      <c r="O363" s="1"/>
      <c r="P363" s="1"/>
      <c r="Q363" s="1"/>
      <c r="R363" s="1"/>
      <c r="S363" s="1"/>
    </row>
    <row r="364" spans="1:19" s="62" customFormat="1">
      <c r="A364" s="1"/>
      <c r="B364" s="167" t="s">
        <v>19</v>
      </c>
      <c r="C364" s="168"/>
      <c r="D364" s="140"/>
      <c r="E364" s="168"/>
      <c r="F364" s="168"/>
      <c r="G364" s="169"/>
      <c r="H364" s="139"/>
      <c r="I364" s="141">
        <f t="shared" si="12"/>
        <v>0</v>
      </c>
      <c r="J364" s="142"/>
      <c r="K364" s="170"/>
      <c r="N364" s="1"/>
      <c r="O364" s="1"/>
      <c r="P364" s="1"/>
      <c r="Q364" s="1"/>
      <c r="R364" s="1"/>
      <c r="S364" s="1"/>
    </row>
    <row r="365" spans="1:19" s="62" customFormat="1">
      <c r="A365" s="1"/>
      <c r="B365" s="171" t="s">
        <v>85</v>
      </c>
      <c r="C365" s="168"/>
      <c r="D365" s="140"/>
      <c r="E365" s="168">
        <v>0.80230000000000001</v>
      </c>
      <c r="F365" s="168"/>
      <c r="G365" s="169"/>
      <c r="H365" s="139"/>
      <c r="I365" s="141">
        <f t="shared" si="12"/>
        <v>-0.80230000000000001</v>
      </c>
      <c r="J365" s="142"/>
      <c r="K365" s="170"/>
      <c r="N365" s="1"/>
      <c r="O365" s="1"/>
      <c r="P365" s="1"/>
      <c r="Q365" s="1"/>
      <c r="R365" s="1"/>
      <c r="S365" s="1"/>
    </row>
    <row r="366" spans="1:19" s="62" customFormat="1">
      <c r="A366" s="1"/>
      <c r="B366" s="171" t="s">
        <v>86</v>
      </c>
      <c r="C366" s="168"/>
      <c r="D366" s="140"/>
      <c r="E366" s="168">
        <v>1.92</v>
      </c>
      <c r="F366" s="168"/>
      <c r="G366" s="169"/>
      <c r="H366" s="139"/>
      <c r="I366" s="141">
        <f t="shared" si="12"/>
        <v>-1.92</v>
      </c>
      <c r="J366" s="142"/>
      <c r="K366" s="170"/>
      <c r="N366" s="1"/>
      <c r="O366" s="1"/>
      <c r="P366" s="1"/>
      <c r="Q366" s="1"/>
      <c r="R366" s="1"/>
      <c r="S366" s="1"/>
    </row>
    <row r="367" spans="1:19" s="62" customFormat="1">
      <c r="A367" s="1"/>
      <c r="B367" s="171" t="s">
        <v>157</v>
      </c>
      <c r="C367" s="168"/>
      <c r="D367" s="140"/>
      <c r="E367" s="168">
        <v>2.0451999999999999</v>
      </c>
      <c r="F367" s="168"/>
      <c r="G367" s="169"/>
      <c r="H367" s="139"/>
      <c r="I367" s="141">
        <f t="shared" si="12"/>
        <v>-2.0451999999999999</v>
      </c>
      <c r="J367" s="142"/>
      <c r="K367" s="170"/>
      <c r="N367" s="1"/>
      <c r="O367" s="1"/>
      <c r="P367" s="1"/>
      <c r="Q367" s="1"/>
      <c r="R367" s="1"/>
      <c r="S367" s="1"/>
    </row>
    <row r="368" spans="1:19" s="62" customFormat="1">
      <c r="A368" s="1"/>
      <c r="B368" s="171" t="s">
        <v>177</v>
      </c>
      <c r="C368" s="168"/>
      <c r="D368" s="140"/>
      <c r="E368" s="168">
        <v>0.15</v>
      </c>
      <c r="F368" s="168"/>
      <c r="G368" s="169"/>
      <c r="H368" s="139"/>
      <c r="I368" s="141">
        <f t="shared" si="12"/>
        <v>-0.15</v>
      </c>
      <c r="J368" s="142"/>
      <c r="K368" s="170"/>
      <c r="N368" s="1"/>
      <c r="O368" s="1"/>
      <c r="P368" s="1"/>
      <c r="Q368" s="1"/>
      <c r="R368" s="1"/>
      <c r="S368" s="1"/>
    </row>
    <row r="369" spans="1:19" s="62" customFormat="1" ht="37.5">
      <c r="A369" s="1"/>
      <c r="B369" s="171" t="s">
        <v>178</v>
      </c>
      <c r="C369" s="168"/>
      <c r="D369" s="140"/>
      <c r="E369" s="168">
        <v>5.35</v>
      </c>
      <c r="F369" s="168"/>
      <c r="G369" s="169"/>
      <c r="H369" s="139"/>
      <c r="I369" s="141">
        <f t="shared" si="12"/>
        <v>-5.35</v>
      </c>
      <c r="J369" s="142"/>
      <c r="K369" s="170"/>
      <c r="N369" s="1"/>
      <c r="O369" s="1"/>
      <c r="P369" s="1"/>
      <c r="Q369" s="1"/>
      <c r="R369" s="1"/>
      <c r="S369" s="1"/>
    </row>
    <row r="370" spans="1:19" s="62" customFormat="1" ht="40.5">
      <c r="A370" s="1"/>
      <c r="B370" s="167" t="s">
        <v>69</v>
      </c>
      <c r="C370" s="168"/>
      <c r="D370" s="140"/>
      <c r="E370" s="168"/>
      <c r="F370" s="168"/>
      <c r="G370" s="169"/>
      <c r="H370" s="139"/>
      <c r="I370" s="141"/>
      <c r="J370" s="142"/>
      <c r="K370" s="170"/>
      <c r="N370" s="1"/>
      <c r="O370" s="1"/>
      <c r="P370" s="1"/>
      <c r="Q370" s="1"/>
      <c r="R370" s="1"/>
      <c r="S370" s="1"/>
    </row>
    <row r="371" spans="1:19" s="62" customFormat="1">
      <c r="A371" s="1"/>
      <c r="B371" s="171" t="s">
        <v>2</v>
      </c>
      <c r="C371" s="172"/>
      <c r="D371" s="173"/>
      <c r="E371" s="172"/>
      <c r="F371" s="168"/>
      <c r="G371" s="169"/>
      <c r="H371" s="172"/>
      <c r="I371" s="141"/>
      <c r="J371" s="142"/>
      <c r="K371" s="143"/>
      <c r="N371" s="1"/>
      <c r="O371" s="1"/>
      <c r="P371" s="1"/>
      <c r="Q371" s="1"/>
      <c r="R371" s="1"/>
      <c r="S371" s="1"/>
    </row>
    <row r="372" spans="1:19" s="62" customFormat="1">
      <c r="A372" s="1"/>
      <c r="B372" s="171" t="s">
        <v>3</v>
      </c>
      <c r="C372" s="172"/>
      <c r="D372" s="173"/>
      <c r="E372" s="172"/>
      <c r="F372" s="168"/>
      <c r="G372" s="169"/>
      <c r="H372" s="172"/>
      <c r="I372" s="141"/>
      <c r="J372" s="142"/>
      <c r="K372" s="143"/>
      <c r="N372" s="1"/>
      <c r="O372" s="1"/>
      <c r="P372" s="1"/>
      <c r="Q372" s="1"/>
      <c r="R372" s="1"/>
      <c r="S372" s="1"/>
    </row>
    <row r="373" spans="1:19" s="62" customFormat="1">
      <c r="A373" s="1"/>
      <c r="B373" s="167" t="s">
        <v>22</v>
      </c>
      <c r="C373" s="168"/>
      <c r="D373" s="140"/>
      <c r="E373" s="168"/>
      <c r="F373" s="168"/>
      <c r="G373" s="169"/>
      <c r="H373" s="168"/>
      <c r="I373" s="141"/>
      <c r="J373" s="142"/>
      <c r="K373" s="143"/>
      <c r="N373" s="1"/>
      <c r="O373" s="1"/>
      <c r="P373" s="1"/>
      <c r="Q373" s="1"/>
      <c r="R373" s="1"/>
      <c r="S373" s="1"/>
    </row>
    <row r="374" spans="1:19" s="62" customFormat="1">
      <c r="A374" s="1"/>
      <c r="B374" s="171" t="s">
        <v>21</v>
      </c>
      <c r="C374" s="168"/>
      <c r="D374" s="140"/>
      <c r="E374" s="168"/>
      <c r="F374" s="168"/>
      <c r="G374" s="169"/>
      <c r="H374" s="168"/>
      <c r="I374" s="141"/>
      <c r="J374" s="142"/>
      <c r="K374" s="143"/>
      <c r="N374" s="1"/>
      <c r="O374" s="1"/>
      <c r="P374" s="1"/>
      <c r="Q374" s="1"/>
      <c r="R374" s="1"/>
      <c r="S374" s="1"/>
    </row>
    <row r="375" spans="1:19" s="62" customFormat="1">
      <c r="A375" s="1"/>
      <c r="B375" s="167" t="s">
        <v>20</v>
      </c>
      <c r="C375" s="168"/>
      <c r="D375" s="140"/>
      <c r="E375" s="168"/>
      <c r="F375" s="168"/>
      <c r="G375" s="169"/>
      <c r="H375" s="168"/>
      <c r="I375" s="141"/>
      <c r="J375" s="142"/>
      <c r="K375" s="143"/>
      <c r="N375" s="1"/>
      <c r="O375" s="1"/>
      <c r="P375" s="1"/>
      <c r="Q375" s="1"/>
      <c r="R375" s="1"/>
      <c r="S375" s="1"/>
    </row>
    <row r="376" spans="1:19" s="62" customFormat="1">
      <c r="A376" s="1"/>
      <c r="B376" s="171" t="s">
        <v>17</v>
      </c>
      <c r="C376" s="168"/>
      <c r="D376" s="140"/>
      <c r="E376" s="168"/>
      <c r="F376" s="168"/>
      <c r="G376" s="169"/>
      <c r="H376" s="168"/>
      <c r="I376" s="141"/>
      <c r="J376" s="142"/>
      <c r="K376" s="143"/>
      <c r="N376" s="1"/>
      <c r="O376" s="1"/>
      <c r="P376" s="1"/>
      <c r="Q376" s="1"/>
      <c r="R376" s="1"/>
      <c r="S376" s="1"/>
    </row>
    <row r="377" spans="1:19" s="62" customFormat="1">
      <c r="A377" s="1"/>
      <c r="B377" s="216" t="s">
        <v>44</v>
      </c>
      <c r="C377" s="133"/>
      <c r="D377" s="134"/>
      <c r="E377" s="133">
        <f>SUM(E378:E383)</f>
        <v>0</v>
      </c>
      <c r="F377" s="133"/>
      <c r="G377" s="134"/>
      <c r="H377" s="133">
        <f>SUM(H378:H383)</f>
        <v>0</v>
      </c>
      <c r="I377" s="137"/>
      <c r="J377" s="137"/>
      <c r="K377" s="137"/>
      <c r="N377" s="1"/>
      <c r="O377" s="1"/>
      <c r="P377" s="1"/>
      <c r="Q377" s="1"/>
      <c r="R377" s="1"/>
      <c r="S377" s="1"/>
    </row>
    <row r="378" spans="1:19" s="62" customFormat="1">
      <c r="A378" s="1"/>
      <c r="B378" s="171" t="s">
        <v>90</v>
      </c>
      <c r="C378" s="168"/>
      <c r="D378" s="140"/>
      <c r="E378" s="168"/>
      <c r="F378" s="168"/>
      <c r="G378" s="169"/>
      <c r="H378" s="168"/>
      <c r="I378" s="170"/>
      <c r="J378" s="170"/>
      <c r="K378" s="170"/>
      <c r="N378" s="1"/>
      <c r="O378" s="1"/>
      <c r="P378" s="1"/>
      <c r="Q378" s="1"/>
      <c r="R378" s="1"/>
      <c r="S378" s="1"/>
    </row>
    <row r="379" spans="1:19" s="62" customFormat="1">
      <c r="A379" s="1"/>
      <c r="B379" s="171" t="s">
        <v>91</v>
      </c>
      <c r="C379" s="168"/>
      <c r="D379" s="140"/>
      <c r="E379" s="168"/>
      <c r="F379" s="168"/>
      <c r="G379" s="169"/>
      <c r="H379" s="168"/>
      <c r="I379" s="170"/>
      <c r="J379" s="170"/>
      <c r="K379" s="170"/>
      <c r="N379" s="1"/>
      <c r="O379" s="1"/>
      <c r="P379" s="1"/>
      <c r="Q379" s="1"/>
      <c r="R379" s="1"/>
      <c r="S379" s="1"/>
    </row>
    <row r="380" spans="1:19" s="62" customFormat="1">
      <c r="A380" s="1"/>
      <c r="B380" s="171" t="s">
        <v>167</v>
      </c>
      <c r="C380" s="168"/>
      <c r="D380" s="140"/>
      <c r="E380" s="168"/>
      <c r="F380" s="168"/>
      <c r="G380" s="169"/>
      <c r="H380" s="168"/>
      <c r="I380" s="170"/>
      <c r="J380" s="170"/>
      <c r="K380" s="170"/>
      <c r="N380" s="1"/>
      <c r="O380" s="1"/>
      <c r="P380" s="1"/>
      <c r="Q380" s="1"/>
      <c r="R380" s="1"/>
      <c r="S380" s="1"/>
    </row>
    <row r="381" spans="1:19" s="62" customFormat="1">
      <c r="A381" s="1"/>
      <c r="B381" s="171" t="s">
        <v>168</v>
      </c>
      <c r="C381" s="168"/>
      <c r="D381" s="140"/>
      <c r="E381" s="168"/>
      <c r="F381" s="168"/>
      <c r="G381" s="169"/>
      <c r="H381" s="168"/>
      <c r="I381" s="170"/>
      <c r="J381" s="170"/>
      <c r="K381" s="170"/>
      <c r="N381" s="1"/>
      <c r="O381" s="1"/>
      <c r="P381" s="1"/>
      <c r="Q381" s="1"/>
      <c r="R381" s="1"/>
      <c r="S381" s="1"/>
    </row>
    <row r="382" spans="1:19" s="62" customFormat="1">
      <c r="A382" s="1"/>
      <c r="B382" s="171" t="s">
        <v>169</v>
      </c>
      <c r="C382" s="168"/>
      <c r="D382" s="140"/>
      <c r="E382" s="168"/>
      <c r="F382" s="168"/>
      <c r="G382" s="169"/>
      <c r="H382" s="168"/>
      <c r="I382" s="170"/>
      <c r="J382" s="170"/>
      <c r="K382" s="170"/>
      <c r="N382" s="1"/>
      <c r="O382" s="1"/>
      <c r="P382" s="1"/>
      <c r="Q382" s="1"/>
      <c r="R382" s="1"/>
      <c r="S382" s="1"/>
    </row>
    <row r="383" spans="1:19" s="62" customFormat="1">
      <c r="A383" s="1"/>
      <c r="B383" s="171" t="s">
        <v>138</v>
      </c>
      <c r="C383" s="168"/>
      <c r="D383" s="140"/>
      <c r="E383" s="168"/>
      <c r="F383" s="168"/>
      <c r="G383" s="169"/>
      <c r="H383" s="168"/>
      <c r="I383" s="170"/>
      <c r="J383" s="170"/>
      <c r="K383" s="170"/>
      <c r="N383" s="1"/>
      <c r="O383" s="1"/>
      <c r="P383" s="1"/>
      <c r="Q383" s="1"/>
      <c r="R383" s="1"/>
      <c r="S383" s="1"/>
    </row>
    <row r="384" spans="1:19" s="62" customFormat="1">
      <c r="A384" s="1"/>
      <c r="B384" s="171"/>
      <c r="C384" s="168"/>
      <c r="D384" s="140"/>
      <c r="E384" s="168"/>
      <c r="F384" s="168"/>
      <c r="G384" s="169"/>
      <c r="H384" s="168"/>
      <c r="I384" s="170"/>
      <c r="J384" s="170"/>
      <c r="K384" s="170"/>
      <c r="N384" s="1"/>
      <c r="O384" s="1"/>
      <c r="P384" s="1"/>
      <c r="Q384" s="1"/>
      <c r="R384" s="1"/>
      <c r="S384" s="1"/>
    </row>
    <row r="385" spans="1:19" s="62" customFormat="1">
      <c r="A385" s="1"/>
      <c r="B385" s="179" t="s">
        <v>45</v>
      </c>
      <c r="C385" s="180"/>
      <c r="D385" s="181"/>
      <c r="E385" s="180">
        <f>SUM(E386:E390)</f>
        <v>0</v>
      </c>
      <c r="F385" s="180"/>
      <c r="G385" s="181"/>
      <c r="H385" s="180">
        <f>SUM(H386:H390)</f>
        <v>0</v>
      </c>
      <c r="I385" s="184"/>
      <c r="J385" s="184"/>
      <c r="K385" s="184"/>
      <c r="N385" s="1"/>
      <c r="O385" s="1"/>
      <c r="P385" s="1"/>
      <c r="Q385" s="1"/>
      <c r="R385" s="1"/>
      <c r="S385" s="1"/>
    </row>
    <row r="386" spans="1:19" s="62" customFormat="1">
      <c r="A386" s="1"/>
      <c r="B386" s="171" t="s">
        <v>106</v>
      </c>
      <c r="C386" s="168"/>
      <c r="D386" s="140"/>
      <c r="E386" s="168"/>
      <c r="F386" s="168"/>
      <c r="G386" s="169"/>
      <c r="H386" s="139"/>
      <c r="I386" s="141"/>
      <c r="J386" s="142"/>
      <c r="K386" s="143"/>
      <c r="N386" s="1"/>
      <c r="O386" s="1"/>
      <c r="P386" s="1"/>
      <c r="Q386" s="1"/>
      <c r="R386" s="1"/>
      <c r="S386" s="1"/>
    </row>
    <row r="387" spans="1:19" s="62" customFormat="1">
      <c r="A387" s="1"/>
      <c r="B387" s="171" t="s">
        <v>107</v>
      </c>
      <c r="C387" s="168"/>
      <c r="D387" s="140"/>
      <c r="E387" s="168"/>
      <c r="F387" s="168"/>
      <c r="G387" s="169"/>
      <c r="H387" s="139"/>
      <c r="I387" s="141"/>
      <c r="J387" s="142"/>
      <c r="K387" s="143"/>
      <c r="N387" s="1"/>
      <c r="O387" s="1"/>
      <c r="P387" s="1"/>
      <c r="Q387" s="1"/>
      <c r="R387" s="1"/>
      <c r="S387" s="1"/>
    </row>
    <row r="388" spans="1:19" s="62" customFormat="1">
      <c r="A388" s="1"/>
      <c r="B388" s="171" t="s">
        <v>108</v>
      </c>
      <c r="C388" s="168"/>
      <c r="D388" s="140"/>
      <c r="E388" s="168"/>
      <c r="F388" s="168"/>
      <c r="G388" s="169"/>
      <c r="H388" s="139"/>
      <c r="I388" s="141"/>
      <c r="J388" s="142"/>
      <c r="K388" s="143"/>
      <c r="N388" s="1"/>
      <c r="O388" s="1"/>
      <c r="P388" s="1"/>
      <c r="Q388" s="1"/>
      <c r="R388" s="1"/>
      <c r="S388" s="1"/>
    </row>
    <row r="389" spans="1:19" s="62" customFormat="1">
      <c r="A389" s="1"/>
      <c r="B389" s="171" t="s">
        <v>109</v>
      </c>
      <c r="C389" s="168"/>
      <c r="D389" s="140"/>
      <c r="E389" s="168"/>
      <c r="F389" s="168"/>
      <c r="G389" s="169"/>
      <c r="H389" s="139"/>
      <c r="I389" s="141"/>
      <c r="J389" s="142"/>
      <c r="K389" s="143"/>
      <c r="N389" s="1"/>
      <c r="O389" s="1"/>
      <c r="P389" s="1"/>
      <c r="Q389" s="1"/>
      <c r="R389" s="1"/>
      <c r="S389" s="1"/>
    </row>
    <row r="390" spans="1:19" s="62" customFormat="1">
      <c r="A390" s="1"/>
      <c r="B390" s="171" t="s">
        <v>111</v>
      </c>
      <c r="C390" s="168"/>
      <c r="D390" s="140"/>
      <c r="E390" s="168"/>
      <c r="F390" s="168"/>
      <c r="G390" s="169"/>
      <c r="H390" s="139"/>
      <c r="I390" s="141"/>
      <c r="J390" s="142"/>
      <c r="K390" s="143"/>
      <c r="N390" s="1"/>
      <c r="O390" s="1"/>
      <c r="P390" s="1"/>
      <c r="Q390" s="1"/>
      <c r="R390" s="1"/>
      <c r="S390" s="1"/>
    </row>
    <row r="391" spans="1:19" s="62" customFormat="1">
      <c r="A391" s="1"/>
      <c r="B391" s="221" t="s">
        <v>46</v>
      </c>
      <c r="C391" s="222"/>
      <c r="D391" s="223"/>
      <c r="E391" s="222">
        <f>+E392+E403</f>
        <v>0</v>
      </c>
      <c r="F391" s="222"/>
      <c r="G391" s="223"/>
      <c r="H391" s="222">
        <f>+H392+H403</f>
        <v>0</v>
      </c>
      <c r="I391" s="226"/>
      <c r="J391" s="226"/>
      <c r="K391" s="226"/>
      <c r="N391" s="1"/>
      <c r="O391" s="1"/>
      <c r="P391" s="1"/>
      <c r="Q391" s="1"/>
      <c r="R391" s="1"/>
      <c r="S391" s="1"/>
    </row>
    <row r="392" spans="1:19" s="62" customFormat="1">
      <c r="A392" s="1"/>
      <c r="B392" s="179" t="s">
        <v>47</v>
      </c>
      <c r="C392" s="180"/>
      <c r="D392" s="181"/>
      <c r="E392" s="180">
        <f>+E394</f>
        <v>0</v>
      </c>
      <c r="F392" s="180"/>
      <c r="G392" s="181"/>
      <c r="H392" s="180">
        <f>+H394</f>
        <v>0</v>
      </c>
      <c r="I392" s="184"/>
      <c r="J392" s="184"/>
      <c r="K392" s="184"/>
      <c r="N392" s="1"/>
      <c r="O392" s="1"/>
      <c r="P392" s="1"/>
      <c r="Q392" s="1"/>
      <c r="R392" s="1"/>
      <c r="S392" s="1"/>
    </row>
    <row r="393" spans="1:19" s="62" customFormat="1">
      <c r="A393" s="1"/>
      <c r="B393" s="167" t="s">
        <v>19</v>
      </c>
      <c r="C393" s="168"/>
      <c r="D393" s="140"/>
      <c r="E393" s="168"/>
      <c r="F393" s="168"/>
      <c r="G393" s="169"/>
      <c r="H393" s="168"/>
      <c r="I393" s="170"/>
      <c r="J393" s="170"/>
      <c r="K393" s="170"/>
      <c r="N393" s="1"/>
      <c r="O393" s="1"/>
      <c r="P393" s="1"/>
      <c r="Q393" s="1"/>
      <c r="R393" s="1"/>
      <c r="S393" s="1"/>
    </row>
    <row r="394" spans="1:19" s="62" customFormat="1">
      <c r="A394" s="1"/>
      <c r="B394" s="216" t="s">
        <v>110</v>
      </c>
      <c r="C394" s="133"/>
      <c r="D394" s="134"/>
      <c r="E394" s="133"/>
      <c r="F394" s="133"/>
      <c r="G394" s="134"/>
      <c r="H394" s="133"/>
      <c r="I394" s="137"/>
      <c r="J394" s="137"/>
      <c r="K394" s="137"/>
      <c r="N394" s="1"/>
      <c r="O394" s="1"/>
      <c r="P394" s="1"/>
      <c r="Q394" s="1"/>
      <c r="R394" s="1"/>
      <c r="S394" s="1"/>
    </row>
    <row r="395" spans="1:19" s="62" customFormat="1">
      <c r="A395" s="1"/>
      <c r="B395" s="171" t="s">
        <v>17</v>
      </c>
      <c r="C395" s="168"/>
      <c r="D395" s="140"/>
      <c r="E395" s="168"/>
      <c r="F395" s="168"/>
      <c r="G395" s="169"/>
      <c r="H395" s="139"/>
      <c r="I395" s="141"/>
      <c r="J395" s="142"/>
      <c r="K395" s="143"/>
      <c r="N395" s="1"/>
      <c r="O395" s="1"/>
      <c r="P395" s="1"/>
      <c r="Q395" s="1"/>
      <c r="R395" s="1"/>
      <c r="S395" s="1"/>
    </row>
    <row r="396" spans="1:19" s="62" customFormat="1">
      <c r="A396" s="1"/>
      <c r="B396" s="171" t="s">
        <v>18</v>
      </c>
      <c r="C396" s="168"/>
      <c r="D396" s="140"/>
      <c r="E396" s="168"/>
      <c r="F396" s="168"/>
      <c r="G396" s="169"/>
      <c r="H396" s="139"/>
      <c r="I396" s="141"/>
      <c r="J396" s="142"/>
      <c r="K396" s="143"/>
      <c r="N396" s="1"/>
      <c r="O396" s="1"/>
      <c r="P396" s="1"/>
      <c r="Q396" s="1"/>
      <c r="R396" s="1"/>
      <c r="S396" s="1"/>
    </row>
    <row r="397" spans="1:19" s="62" customFormat="1">
      <c r="A397" s="1"/>
      <c r="B397" s="167" t="s">
        <v>22</v>
      </c>
      <c r="C397" s="168"/>
      <c r="D397" s="140"/>
      <c r="E397" s="168"/>
      <c r="F397" s="168"/>
      <c r="G397" s="169"/>
      <c r="H397" s="139"/>
      <c r="I397" s="141"/>
      <c r="J397" s="142"/>
      <c r="K397" s="143"/>
      <c r="N397" s="1"/>
      <c r="O397" s="1"/>
      <c r="P397" s="1"/>
      <c r="Q397" s="1"/>
      <c r="R397" s="1"/>
      <c r="S397" s="1"/>
    </row>
    <row r="398" spans="1:19" s="62" customFormat="1">
      <c r="A398" s="1"/>
      <c r="B398" s="167" t="s">
        <v>48</v>
      </c>
      <c r="C398" s="168"/>
      <c r="D398" s="140"/>
      <c r="E398" s="168"/>
      <c r="F398" s="168"/>
      <c r="G398" s="169"/>
      <c r="H398" s="139"/>
      <c r="I398" s="141"/>
      <c r="J398" s="142"/>
      <c r="K398" s="143"/>
      <c r="N398" s="1"/>
      <c r="O398" s="1"/>
      <c r="P398" s="1"/>
      <c r="Q398" s="1"/>
      <c r="R398" s="1"/>
      <c r="S398" s="1"/>
    </row>
    <row r="399" spans="1:19" s="62" customFormat="1">
      <c r="A399" s="1"/>
      <c r="B399" s="171" t="s">
        <v>23</v>
      </c>
      <c r="C399" s="168"/>
      <c r="D399" s="140"/>
      <c r="E399" s="168"/>
      <c r="F399" s="168"/>
      <c r="G399" s="169"/>
      <c r="H399" s="139"/>
      <c r="I399" s="141"/>
      <c r="J399" s="142"/>
      <c r="K399" s="143"/>
      <c r="N399" s="1"/>
      <c r="O399" s="1"/>
      <c r="P399" s="1"/>
      <c r="Q399" s="1"/>
      <c r="R399" s="1"/>
      <c r="S399" s="1"/>
    </row>
    <row r="400" spans="1:19" s="62" customFormat="1">
      <c r="A400" s="1"/>
      <c r="B400" s="167" t="s">
        <v>20</v>
      </c>
      <c r="C400" s="168"/>
      <c r="D400" s="140"/>
      <c r="E400" s="168"/>
      <c r="F400" s="168"/>
      <c r="G400" s="169"/>
      <c r="H400" s="139"/>
      <c r="I400" s="141"/>
      <c r="J400" s="142"/>
      <c r="K400" s="143"/>
      <c r="N400" s="1"/>
      <c r="O400" s="1"/>
      <c r="P400" s="1"/>
      <c r="Q400" s="1"/>
      <c r="R400" s="1"/>
      <c r="S400" s="1"/>
    </row>
    <row r="401" spans="1:19" s="62" customFormat="1">
      <c r="A401" s="1"/>
      <c r="B401" s="167" t="s">
        <v>48</v>
      </c>
      <c r="C401" s="168"/>
      <c r="D401" s="140"/>
      <c r="E401" s="168"/>
      <c r="F401" s="168"/>
      <c r="G401" s="169"/>
      <c r="H401" s="139"/>
      <c r="I401" s="141"/>
      <c r="J401" s="142"/>
      <c r="K401" s="143"/>
      <c r="N401" s="1"/>
      <c r="O401" s="1"/>
      <c r="P401" s="1"/>
      <c r="Q401" s="1"/>
      <c r="R401" s="1"/>
      <c r="S401" s="1"/>
    </row>
    <row r="402" spans="1:19" s="62" customFormat="1">
      <c r="A402" s="1"/>
      <c r="B402" s="171" t="s">
        <v>23</v>
      </c>
      <c r="C402" s="168"/>
      <c r="D402" s="140"/>
      <c r="E402" s="168"/>
      <c r="F402" s="168"/>
      <c r="G402" s="169"/>
      <c r="H402" s="139"/>
      <c r="I402" s="141"/>
      <c r="J402" s="142"/>
      <c r="K402" s="143"/>
      <c r="N402" s="1"/>
      <c r="O402" s="1"/>
      <c r="P402" s="1"/>
      <c r="Q402" s="1"/>
      <c r="R402" s="1"/>
      <c r="S402" s="1"/>
    </row>
    <row r="403" spans="1:19" s="62" customFormat="1">
      <c r="A403" s="1"/>
      <c r="B403" s="179" t="s">
        <v>49</v>
      </c>
      <c r="C403" s="180"/>
      <c r="D403" s="181"/>
      <c r="E403" s="180">
        <f>+E405</f>
        <v>0</v>
      </c>
      <c r="F403" s="180"/>
      <c r="G403" s="181"/>
      <c r="H403" s="180">
        <f>+H405</f>
        <v>0</v>
      </c>
      <c r="I403" s="184"/>
      <c r="J403" s="184"/>
      <c r="K403" s="184"/>
      <c r="N403" s="1"/>
      <c r="O403" s="1"/>
      <c r="P403" s="1"/>
      <c r="Q403" s="1"/>
      <c r="R403" s="1"/>
      <c r="S403" s="1"/>
    </row>
    <row r="404" spans="1:19" s="62" customFormat="1">
      <c r="A404" s="1"/>
      <c r="B404" s="167" t="s">
        <v>19</v>
      </c>
      <c r="C404" s="168"/>
      <c r="D404" s="140"/>
      <c r="E404" s="168"/>
      <c r="F404" s="168"/>
      <c r="G404" s="169"/>
      <c r="H404" s="168"/>
      <c r="I404" s="170"/>
      <c r="J404" s="170"/>
      <c r="K404" s="170"/>
      <c r="N404" s="1"/>
      <c r="O404" s="1"/>
      <c r="P404" s="1"/>
      <c r="Q404" s="1"/>
      <c r="R404" s="1"/>
      <c r="S404" s="1"/>
    </row>
    <row r="405" spans="1:19" s="62" customFormat="1">
      <c r="A405" s="1"/>
      <c r="B405" s="216" t="s">
        <v>50</v>
      </c>
      <c r="C405" s="133"/>
      <c r="D405" s="134"/>
      <c r="E405" s="133"/>
      <c r="F405" s="133"/>
      <c r="G405" s="134"/>
      <c r="H405" s="133"/>
      <c r="I405" s="137"/>
      <c r="J405" s="137"/>
      <c r="K405" s="137"/>
      <c r="N405" s="1"/>
      <c r="O405" s="1"/>
      <c r="P405" s="1"/>
      <c r="Q405" s="1"/>
      <c r="R405" s="1"/>
      <c r="S405" s="1"/>
    </row>
    <row r="406" spans="1:19" s="62" customFormat="1" ht="27.75" customHeight="1">
      <c r="A406" s="16"/>
      <c r="B406" s="171" t="s">
        <v>17</v>
      </c>
      <c r="C406" s="168"/>
      <c r="D406" s="140"/>
      <c r="E406" s="168"/>
      <c r="F406" s="168"/>
      <c r="G406" s="169"/>
      <c r="H406" s="168"/>
      <c r="I406" s="141"/>
      <c r="J406" s="142"/>
      <c r="K406" s="143"/>
      <c r="N406" s="1"/>
      <c r="O406" s="1"/>
      <c r="P406" s="1"/>
      <c r="Q406" s="1"/>
      <c r="R406" s="1"/>
      <c r="S406" s="1"/>
    </row>
    <row r="407" spans="1:19" s="62" customFormat="1" ht="27.75" customHeight="1">
      <c r="A407" s="1"/>
      <c r="B407" s="171" t="s">
        <v>18</v>
      </c>
      <c r="C407" s="168"/>
      <c r="D407" s="140"/>
      <c r="E407" s="168"/>
      <c r="F407" s="168"/>
      <c r="G407" s="169"/>
      <c r="H407" s="168"/>
      <c r="I407" s="141"/>
      <c r="J407" s="142"/>
      <c r="K407" s="143"/>
      <c r="N407" s="1"/>
      <c r="O407" s="1"/>
      <c r="P407" s="1"/>
      <c r="Q407" s="1"/>
      <c r="R407" s="1"/>
      <c r="S407" s="1"/>
    </row>
    <row r="408" spans="1:19" s="62" customFormat="1">
      <c r="A408" s="1"/>
      <c r="B408" s="167" t="s">
        <v>22</v>
      </c>
      <c r="C408" s="168"/>
      <c r="D408" s="140"/>
      <c r="E408" s="168"/>
      <c r="F408" s="168"/>
      <c r="G408" s="169"/>
      <c r="H408" s="168"/>
      <c r="I408" s="141"/>
      <c r="J408" s="142"/>
      <c r="K408" s="143"/>
      <c r="N408" s="1"/>
      <c r="O408" s="1"/>
      <c r="P408" s="1"/>
      <c r="Q408" s="1"/>
      <c r="R408" s="1"/>
      <c r="S408" s="1"/>
    </row>
    <row r="409" spans="1:19" s="62" customFormat="1">
      <c r="A409" s="1"/>
      <c r="B409" s="167" t="s">
        <v>51</v>
      </c>
      <c r="C409" s="168"/>
      <c r="D409" s="140"/>
      <c r="E409" s="168"/>
      <c r="F409" s="168"/>
      <c r="G409" s="169"/>
      <c r="H409" s="168"/>
      <c r="I409" s="141"/>
      <c r="J409" s="142"/>
      <c r="K409" s="143"/>
      <c r="N409" s="1"/>
      <c r="O409" s="1"/>
      <c r="P409" s="1"/>
      <c r="Q409" s="1"/>
      <c r="R409" s="1"/>
      <c r="S409" s="1"/>
    </row>
    <row r="410" spans="1:19" s="62" customFormat="1">
      <c r="A410" s="1"/>
      <c r="B410" s="171" t="s">
        <v>23</v>
      </c>
      <c r="C410" s="168"/>
      <c r="D410" s="140"/>
      <c r="E410" s="168"/>
      <c r="F410" s="168"/>
      <c r="G410" s="169"/>
      <c r="H410" s="168"/>
      <c r="I410" s="141"/>
      <c r="J410" s="142"/>
      <c r="K410" s="143"/>
      <c r="N410" s="1"/>
      <c r="O410" s="1"/>
      <c r="P410" s="1"/>
      <c r="Q410" s="1"/>
      <c r="R410" s="1"/>
      <c r="S410" s="1"/>
    </row>
    <row r="411" spans="1:19" s="62" customFormat="1">
      <c r="A411" s="1"/>
      <c r="B411" s="167" t="s">
        <v>20</v>
      </c>
      <c r="C411" s="168"/>
      <c r="D411" s="140"/>
      <c r="E411" s="168"/>
      <c r="F411" s="168"/>
      <c r="G411" s="169"/>
      <c r="H411" s="168"/>
      <c r="I411" s="141"/>
      <c r="J411" s="142"/>
      <c r="K411" s="143"/>
      <c r="N411" s="1"/>
      <c r="O411" s="1"/>
      <c r="P411" s="1"/>
      <c r="Q411" s="1"/>
      <c r="R411" s="1"/>
      <c r="S411" s="1"/>
    </row>
    <row r="412" spans="1:19" s="62" customFormat="1">
      <c r="A412" s="1"/>
      <c r="B412" s="167" t="s">
        <v>51</v>
      </c>
      <c r="C412" s="168"/>
      <c r="D412" s="140"/>
      <c r="E412" s="168"/>
      <c r="F412" s="168"/>
      <c r="G412" s="169"/>
      <c r="H412" s="168"/>
      <c r="I412" s="141"/>
      <c r="J412" s="142"/>
      <c r="K412" s="143"/>
      <c r="N412" s="1"/>
      <c r="O412" s="1"/>
      <c r="P412" s="1"/>
      <c r="Q412" s="1"/>
      <c r="R412" s="1"/>
      <c r="S412" s="1"/>
    </row>
    <row r="413" spans="1:19" s="62" customFormat="1">
      <c r="A413" s="1"/>
      <c r="B413" s="171" t="s">
        <v>23</v>
      </c>
      <c r="C413" s="168"/>
      <c r="D413" s="140"/>
      <c r="E413" s="168"/>
      <c r="F413" s="168"/>
      <c r="G413" s="169"/>
      <c r="H413" s="168"/>
      <c r="I413" s="141"/>
      <c r="J413" s="142"/>
      <c r="K413" s="143"/>
      <c r="N413" s="1"/>
      <c r="O413" s="1"/>
      <c r="P413" s="1"/>
      <c r="Q413" s="1"/>
      <c r="R413" s="1"/>
      <c r="S413" s="1"/>
    </row>
    <row r="414" spans="1:19" s="62" customFormat="1">
      <c r="A414" s="1"/>
      <c r="B414" s="216" t="s">
        <v>53</v>
      </c>
      <c r="C414" s="133"/>
      <c r="D414" s="134"/>
      <c r="E414" s="133">
        <f>SUM(E416:E419)</f>
        <v>0</v>
      </c>
      <c r="F414" s="133"/>
      <c r="G414" s="134"/>
      <c r="H414" s="133">
        <f>SUM(H416:H419)</f>
        <v>0</v>
      </c>
      <c r="I414" s="137"/>
      <c r="J414" s="137"/>
      <c r="K414" s="137"/>
      <c r="N414" s="1"/>
      <c r="O414" s="1"/>
      <c r="P414" s="1"/>
      <c r="Q414" s="1"/>
      <c r="R414" s="1"/>
      <c r="S414" s="1"/>
    </row>
    <row r="415" spans="1:19" s="62" customFormat="1">
      <c r="A415" s="1"/>
      <c r="B415" s="167" t="s">
        <v>52</v>
      </c>
      <c r="C415" s="168"/>
      <c r="D415" s="140"/>
      <c r="E415" s="168"/>
      <c r="F415" s="168"/>
      <c r="G415" s="169"/>
      <c r="H415" s="168"/>
      <c r="I415" s="170"/>
      <c r="J415" s="170"/>
      <c r="K415" s="170"/>
      <c r="N415" s="1"/>
      <c r="O415" s="1"/>
      <c r="P415" s="1"/>
      <c r="Q415" s="1"/>
      <c r="R415" s="1"/>
      <c r="S415" s="1"/>
    </row>
    <row r="416" spans="1:19" s="62" customFormat="1" ht="56.25">
      <c r="A416" s="1"/>
      <c r="B416" s="167" t="s">
        <v>170</v>
      </c>
      <c r="C416" s="168"/>
      <c r="D416" s="140"/>
      <c r="E416" s="168"/>
      <c r="F416" s="168"/>
      <c r="G416" s="169"/>
      <c r="H416" s="168"/>
      <c r="I416" s="141"/>
      <c r="J416" s="142"/>
      <c r="K416" s="170"/>
      <c r="N416" s="1"/>
      <c r="O416" s="1"/>
      <c r="P416" s="1"/>
      <c r="Q416" s="1"/>
      <c r="R416" s="1"/>
      <c r="S416" s="1"/>
    </row>
    <row r="417" spans="1:19" s="62" customFormat="1" ht="37.5">
      <c r="A417" s="1"/>
      <c r="B417" s="167" t="s">
        <v>172</v>
      </c>
      <c r="C417" s="168"/>
      <c r="D417" s="140"/>
      <c r="E417" s="168"/>
      <c r="F417" s="168"/>
      <c r="G417" s="169"/>
      <c r="H417" s="168"/>
      <c r="I417" s="141"/>
      <c r="J417" s="142"/>
      <c r="K417" s="170"/>
      <c r="N417" s="1"/>
      <c r="O417" s="1"/>
      <c r="P417" s="1"/>
      <c r="Q417" s="1"/>
      <c r="R417" s="1"/>
      <c r="S417" s="1"/>
    </row>
    <row r="418" spans="1:19" s="62" customFormat="1">
      <c r="A418" s="1"/>
      <c r="B418" s="167" t="s">
        <v>173</v>
      </c>
      <c r="C418" s="168"/>
      <c r="D418" s="140"/>
      <c r="E418" s="168"/>
      <c r="F418" s="168"/>
      <c r="G418" s="169"/>
      <c r="H418" s="168"/>
      <c r="I418" s="141"/>
      <c r="J418" s="142"/>
      <c r="K418" s="170"/>
      <c r="N418" s="1"/>
      <c r="O418" s="1"/>
      <c r="P418" s="1"/>
      <c r="Q418" s="1"/>
      <c r="R418" s="1"/>
      <c r="S418" s="1"/>
    </row>
    <row r="419" spans="1:19" s="62" customFormat="1" ht="37.5">
      <c r="A419" s="1"/>
      <c r="B419" s="167" t="s">
        <v>174</v>
      </c>
      <c r="C419" s="168"/>
      <c r="D419" s="140"/>
      <c r="E419" s="168"/>
      <c r="F419" s="168"/>
      <c r="G419" s="169"/>
      <c r="H419" s="168"/>
      <c r="I419" s="141"/>
      <c r="J419" s="142"/>
      <c r="K419" s="170"/>
      <c r="N419" s="1"/>
      <c r="O419" s="1"/>
      <c r="P419" s="1"/>
      <c r="Q419" s="1"/>
      <c r="R419" s="1"/>
      <c r="S419" s="1"/>
    </row>
    <row r="420" spans="1:19" s="62" customFormat="1">
      <c r="A420" s="1"/>
      <c r="B420" s="185" t="s">
        <v>56</v>
      </c>
      <c r="C420" s="145"/>
      <c r="D420" s="146"/>
      <c r="E420" s="145">
        <f>SUM(E421:E422)</f>
        <v>0</v>
      </c>
      <c r="F420" s="145"/>
      <c r="G420" s="146"/>
      <c r="H420" s="145">
        <f>SUM(H421:H422)</f>
        <v>0</v>
      </c>
      <c r="I420" s="149"/>
      <c r="J420" s="149"/>
      <c r="K420" s="149"/>
      <c r="N420" s="1"/>
      <c r="O420" s="1"/>
      <c r="P420" s="1"/>
      <c r="Q420" s="1"/>
      <c r="R420" s="1"/>
      <c r="S420" s="1"/>
    </row>
    <row r="421" spans="1:19" s="62" customFormat="1" ht="27" customHeight="1">
      <c r="A421" s="1"/>
      <c r="B421" s="167" t="s">
        <v>927</v>
      </c>
      <c r="C421" s="168"/>
      <c r="D421" s="140"/>
      <c r="E421" s="168"/>
      <c r="F421" s="168"/>
      <c r="G421" s="169"/>
      <c r="H421" s="168"/>
      <c r="I421" s="141"/>
      <c r="J421" s="142"/>
      <c r="K421" s="170"/>
      <c r="N421" s="1"/>
      <c r="O421" s="1"/>
      <c r="P421" s="1"/>
      <c r="Q421" s="1"/>
      <c r="R421" s="1"/>
      <c r="S421" s="1"/>
    </row>
    <row r="422" spans="1:19" s="62" customFormat="1" ht="37.5">
      <c r="A422" s="1"/>
      <c r="B422" s="167" t="s">
        <v>175</v>
      </c>
      <c r="C422" s="168"/>
      <c r="D422" s="140"/>
      <c r="E422" s="168"/>
      <c r="F422" s="168"/>
      <c r="G422" s="169"/>
      <c r="H422" s="168"/>
      <c r="I422" s="141"/>
      <c r="J422" s="142"/>
      <c r="K422" s="170"/>
      <c r="N422" s="1"/>
      <c r="O422" s="1"/>
      <c r="P422" s="1"/>
      <c r="Q422" s="1"/>
      <c r="R422" s="1"/>
      <c r="S422" s="1"/>
    </row>
    <row r="423" spans="1:19" s="62" customFormat="1">
      <c r="A423" s="1"/>
      <c r="B423" s="167"/>
      <c r="C423" s="168"/>
      <c r="D423" s="140"/>
      <c r="E423" s="168"/>
      <c r="F423" s="168"/>
      <c r="G423" s="169"/>
      <c r="H423" s="168"/>
      <c r="I423" s="141"/>
      <c r="J423" s="142"/>
      <c r="K423" s="170"/>
      <c r="N423" s="1"/>
      <c r="O423" s="1"/>
      <c r="P423" s="1"/>
      <c r="Q423" s="1"/>
      <c r="R423" s="1"/>
      <c r="S423" s="1"/>
    </row>
    <row r="424" spans="1:19" s="62" customFormat="1" ht="37.5">
      <c r="A424" s="1"/>
      <c r="B424" s="156" t="s">
        <v>179</v>
      </c>
      <c r="C424" s="157"/>
      <c r="D424" s="158"/>
      <c r="E424" s="157">
        <f>+E425</f>
        <v>10.032500000000001</v>
      </c>
      <c r="F424" s="157"/>
      <c r="G424" s="158"/>
      <c r="H424" s="157">
        <f>+H425</f>
        <v>27.812600000000003</v>
      </c>
      <c r="I424" s="159">
        <f t="shared" ref="I424:I442" si="13">+H424-E424</f>
        <v>17.780100000000004</v>
      </c>
      <c r="J424" s="160">
        <f t="shared" ref="J424:J459" si="14">+I424*100/H424</f>
        <v>63.928219583929597</v>
      </c>
      <c r="K424" s="161"/>
      <c r="N424" s="1"/>
      <c r="O424" s="1"/>
      <c r="P424" s="1"/>
      <c r="Q424" s="1"/>
      <c r="R424" s="1"/>
      <c r="S424" s="1"/>
    </row>
    <row r="425" spans="1:19" s="62" customFormat="1">
      <c r="A425" s="1"/>
      <c r="B425" s="248" t="s">
        <v>180</v>
      </c>
      <c r="C425" s="249"/>
      <c r="D425" s="250"/>
      <c r="E425" s="249">
        <f>+E426</f>
        <v>10.032500000000001</v>
      </c>
      <c r="F425" s="249"/>
      <c r="G425" s="250"/>
      <c r="H425" s="249">
        <f>+H426</f>
        <v>27.812600000000003</v>
      </c>
      <c r="I425" s="251">
        <f t="shared" si="13"/>
        <v>17.780100000000004</v>
      </c>
      <c r="J425" s="252">
        <f t="shared" si="14"/>
        <v>63.928219583929597</v>
      </c>
      <c r="K425" s="253"/>
      <c r="N425" s="1"/>
      <c r="O425" s="1"/>
      <c r="P425" s="1"/>
      <c r="Q425" s="1"/>
      <c r="R425" s="1"/>
      <c r="S425" s="1"/>
    </row>
    <row r="426" spans="1:19" s="62" customFormat="1" ht="37.5">
      <c r="A426" s="1"/>
      <c r="B426" s="202" t="s">
        <v>181</v>
      </c>
      <c r="C426" s="172"/>
      <c r="D426" s="173"/>
      <c r="E426" s="139">
        <f>+E430+E466+E489+E493</f>
        <v>10.032500000000001</v>
      </c>
      <c r="F426" s="172"/>
      <c r="G426" s="173"/>
      <c r="H426" s="139">
        <f>+H430+H466+H489+H493</f>
        <v>27.812600000000003</v>
      </c>
      <c r="I426" s="141">
        <f t="shared" si="13"/>
        <v>17.780100000000004</v>
      </c>
      <c r="J426" s="142">
        <f t="shared" si="14"/>
        <v>63.928219583929597</v>
      </c>
      <c r="K426" s="143"/>
      <c r="N426" s="1"/>
      <c r="O426" s="1"/>
      <c r="P426" s="1"/>
      <c r="Q426" s="1"/>
      <c r="R426" s="1"/>
      <c r="S426" s="1"/>
    </row>
    <row r="427" spans="1:19" s="62" customFormat="1">
      <c r="A427" s="1"/>
      <c r="B427" s="266" t="s">
        <v>24</v>
      </c>
      <c r="C427" s="168"/>
      <c r="D427" s="169"/>
      <c r="E427" s="172"/>
      <c r="F427" s="139"/>
      <c r="G427" s="140"/>
      <c r="H427" s="172"/>
      <c r="I427" s="141"/>
      <c r="J427" s="142"/>
      <c r="K427" s="170"/>
      <c r="N427" s="1"/>
      <c r="O427" s="1"/>
      <c r="P427" s="1"/>
      <c r="Q427" s="1"/>
      <c r="R427" s="1"/>
      <c r="S427" s="1"/>
    </row>
    <row r="428" spans="1:19" s="62" customFormat="1" ht="32.25">
      <c r="A428" s="1"/>
      <c r="B428" s="231" t="s">
        <v>68</v>
      </c>
      <c r="C428" s="267" t="s">
        <v>25</v>
      </c>
      <c r="D428" s="268"/>
      <c r="E428" s="267" t="s">
        <v>58</v>
      </c>
      <c r="F428" s="267"/>
      <c r="G428" s="268" t="s">
        <v>26</v>
      </c>
      <c r="H428" s="267"/>
      <c r="I428" s="141"/>
      <c r="J428" s="142"/>
      <c r="K428" s="269"/>
      <c r="N428" s="1"/>
      <c r="O428" s="1"/>
      <c r="P428" s="1"/>
      <c r="Q428" s="1"/>
      <c r="R428" s="1"/>
      <c r="S428" s="1"/>
    </row>
    <row r="429" spans="1:19" s="62" customFormat="1" ht="32.25">
      <c r="A429" s="1"/>
      <c r="B429" s="231"/>
      <c r="C429" s="267" t="s">
        <v>60</v>
      </c>
      <c r="D429" s="268"/>
      <c r="E429" s="267" t="s">
        <v>62</v>
      </c>
      <c r="F429" s="267"/>
      <c r="G429" s="268" t="s">
        <v>61</v>
      </c>
      <c r="H429" s="267"/>
      <c r="I429" s="141"/>
      <c r="J429" s="142"/>
      <c r="K429" s="269"/>
      <c r="N429" s="1"/>
      <c r="O429" s="1"/>
      <c r="P429" s="1"/>
      <c r="Q429" s="1"/>
      <c r="R429" s="1"/>
      <c r="S429" s="1"/>
    </row>
    <row r="430" spans="1:19" s="62" customFormat="1">
      <c r="A430" s="1"/>
      <c r="B430" s="177" t="s">
        <v>38</v>
      </c>
      <c r="C430" s="121"/>
      <c r="D430" s="122"/>
      <c r="E430" s="121">
        <f>+E431+E460</f>
        <v>6.1825000000000001</v>
      </c>
      <c r="F430" s="121"/>
      <c r="G430" s="122"/>
      <c r="H430" s="121">
        <f>+H431+H460</f>
        <v>6.3026</v>
      </c>
      <c r="I430" s="123">
        <f t="shared" si="13"/>
        <v>0.12009999999999987</v>
      </c>
      <c r="J430" s="124">
        <f t="shared" si="14"/>
        <v>1.9055627836131102</v>
      </c>
      <c r="K430" s="125"/>
      <c r="N430" s="1"/>
      <c r="O430" s="1"/>
      <c r="P430" s="1"/>
      <c r="Q430" s="1"/>
      <c r="R430" s="1"/>
      <c r="S430" s="1"/>
    </row>
    <row r="431" spans="1:19" s="62" customFormat="1">
      <c r="A431" s="1"/>
      <c r="B431" s="179" t="s">
        <v>41</v>
      </c>
      <c r="C431" s="180"/>
      <c r="D431" s="181"/>
      <c r="E431" s="180">
        <f>+E432+E435+E457</f>
        <v>6.1825000000000001</v>
      </c>
      <c r="F431" s="180"/>
      <c r="G431" s="181"/>
      <c r="H431" s="180">
        <f>+H432+H435+H457</f>
        <v>6.3026</v>
      </c>
      <c r="I431" s="182">
        <f t="shared" si="13"/>
        <v>0.12009999999999987</v>
      </c>
      <c r="J431" s="183">
        <f t="shared" si="14"/>
        <v>1.9055627836131102</v>
      </c>
      <c r="K431" s="184"/>
      <c r="N431" s="1"/>
      <c r="O431" s="1"/>
      <c r="P431" s="1"/>
      <c r="Q431" s="1"/>
      <c r="R431" s="1"/>
      <c r="S431" s="1"/>
    </row>
    <row r="432" spans="1:19" s="62" customFormat="1">
      <c r="A432" s="1"/>
      <c r="B432" s="216" t="s">
        <v>42</v>
      </c>
      <c r="C432" s="133"/>
      <c r="D432" s="134"/>
      <c r="E432" s="133">
        <f>SUM(E433:E433)</f>
        <v>0</v>
      </c>
      <c r="F432" s="133"/>
      <c r="G432" s="134"/>
      <c r="H432" s="133">
        <f>SUM(H433:H433)</f>
        <v>0</v>
      </c>
      <c r="I432" s="135"/>
      <c r="J432" s="136"/>
      <c r="K432" s="137"/>
      <c r="N432" s="1"/>
      <c r="O432" s="1"/>
      <c r="P432" s="1"/>
      <c r="Q432" s="1"/>
      <c r="R432" s="1"/>
      <c r="S432" s="1"/>
    </row>
    <row r="433" spans="1:19" s="62" customFormat="1">
      <c r="A433" s="1"/>
      <c r="B433" s="171" t="s">
        <v>112</v>
      </c>
      <c r="C433" s="168"/>
      <c r="D433" s="140"/>
      <c r="E433" s="168"/>
      <c r="F433" s="168"/>
      <c r="G433" s="169"/>
      <c r="H433" s="168"/>
      <c r="I433" s="168"/>
      <c r="J433" s="168"/>
      <c r="K433" s="170"/>
      <c r="N433" s="1"/>
      <c r="O433" s="1"/>
      <c r="P433" s="1"/>
      <c r="Q433" s="1"/>
      <c r="R433" s="1"/>
      <c r="S433" s="1"/>
    </row>
    <row r="434" spans="1:19" s="62" customFormat="1">
      <c r="A434" s="1"/>
      <c r="B434" s="171"/>
      <c r="C434" s="168"/>
      <c r="D434" s="140"/>
      <c r="E434" s="168"/>
      <c r="F434" s="168"/>
      <c r="G434" s="169"/>
      <c r="H434" s="168"/>
      <c r="I434" s="168"/>
      <c r="J434" s="168"/>
      <c r="K434" s="170"/>
      <c r="N434" s="1"/>
      <c r="O434" s="1"/>
      <c r="P434" s="1"/>
      <c r="Q434" s="1"/>
      <c r="R434" s="1"/>
      <c r="S434" s="1"/>
    </row>
    <row r="435" spans="1:19" s="62" customFormat="1">
      <c r="A435" s="1"/>
      <c r="B435" s="216" t="s">
        <v>43</v>
      </c>
      <c r="C435" s="133"/>
      <c r="D435" s="134"/>
      <c r="E435" s="133">
        <f>SUM(E437:E449)</f>
        <v>6.1649000000000003</v>
      </c>
      <c r="F435" s="133"/>
      <c r="G435" s="134"/>
      <c r="H435" s="133">
        <f>SUM(H437:H449)</f>
        <v>6.2896000000000001</v>
      </c>
      <c r="I435" s="135">
        <f t="shared" si="13"/>
        <v>0.12469999999999981</v>
      </c>
      <c r="J435" s="136">
        <f t="shared" si="14"/>
        <v>1.9826380055965374</v>
      </c>
      <c r="K435" s="137"/>
      <c r="N435" s="1"/>
      <c r="O435" s="1"/>
      <c r="P435" s="1"/>
      <c r="Q435" s="1"/>
      <c r="R435" s="1"/>
      <c r="S435" s="1"/>
    </row>
    <row r="436" spans="1:19" s="62" customFormat="1">
      <c r="A436" s="1"/>
      <c r="B436" s="167" t="s">
        <v>19</v>
      </c>
      <c r="C436" s="168"/>
      <c r="D436" s="140"/>
      <c r="E436" s="168"/>
      <c r="F436" s="168"/>
      <c r="G436" s="169"/>
      <c r="H436" s="168"/>
      <c r="I436" s="168"/>
      <c r="J436" s="168"/>
      <c r="K436" s="170"/>
      <c r="N436" s="1"/>
      <c r="O436" s="1"/>
      <c r="P436" s="1"/>
      <c r="Q436" s="1"/>
      <c r="R436" s="1"/>
      <c r="S436" s="1"/>
    </row>
    <row r="437" spans="1:19" s="62" customFormat="1" ht="56.25">
      <c r="A437" s="1"/>
      <c r="B437" s="171" t="s">
        <v>85</v>
      </c>
      <c r="C437" s="168"/>
      <c r="D437" s="140"/>
      <c r="E437" s="168">
        <v>0.18240000000000001</v>
      </c>
      <c r="F437" s="168"/>
      <c r="G437" s="169"/>
      <c r="H437" s="139">
        <v>9.2799999999999994E-2</v>
      </c>
      <c r="I437" s="141">
        <f t="shared" si="13"/>
        <v>-8.9600000000000013E-2</v>
      </c>
      <c r="J437" s="142">
        <f t="shared" si="14"/>
        <v>-96.551724137931046</v>
      </c>
      <c r="K437" s="167" t="s">
        <v>899</v>
      </c>
      <c r="N437" s="1"/>
      <c r="O437" s="1"/>
      <c r="P437" s="1"/>
      <c r="Q437" s="1"/>
      <c r="R437" s="1"/>
      <c r="S437" s="1"/>
    </row>
    <row r="438" spans="1:19" s="62" customFormat="1" ht="37.5">
      <c r="A438" s="1"/>
      <c r="B438" s="171"/>
      <c r="C438" s="168"/>
      <c r="D438" s="140"/>
      <c r="E438" s="168"/>
      <c r="F438" s="168"/>
      <c r="G438" s="169"/>
      <c r="H438" s="139"/>
      <c r="I438" s="141"/>
      <c r="J438" s="142"/>
      <c r="K438" s="167" t="s">
        <v>900</v>
      </c>
      <c r="N438" s="1"/>
      <c r="O438" s="1"/>
      <c r="P438" s="1"/>
      <c r="Q438" s="1"/>
      <c r="R438" s="1"/>
      <c r="S438" s="1"/>
    </row>
    <row r="439" spans="1:19" s="62" customFormat="1" ht="37.5">
      <c r="A439" s="1"/>
      <c r="B439" s="171"/>
      <c r="C439" s="168"/>
      <c r="D439" s="140"/>
      <c r="E439" s="168"/>
      <c r="F439" s="168"/>
      <c r="G439" s="169"/>
      <c r="H439" s="139"/>
      <c r="I439" s="141"/>
      <c r="J439" s="142"/>
      <c r="K439" s="167" t="s">
        <v>901</v>
      </c>
      <c r="N439" s="1"/>
      <c r="O439" s="1"/>
      <c r="P439" s="1"/>
      <c r="Q439" s="1"/>
      <c r="R439" s="1"/>
      <c r="S439" s="1"/>
    </row>
    <row r="440" spans="1:19" s="62" customFormat="1" ht="37.5">
      <c r="A440" s="1"/>
      <c r="B440" s="171"/>
      <c r="C440" s="168"/>
      <c r="D440" s="140"/>
      <c r="E440" s="168"/>
      <c r="F440" s="168"/>
      <c r="G440" s="169"/>
      <c r="H440" s="139"/>
      <c r="I440" s="141"/>
      <c r="J440" s="142"/>
      <c r="K440" s="167" t="s">
        <v>902</v>
      </c>
      <c r="N440" s="1"/>
      <c r="O440" s="1"/>
      <c r="P440" s="1"/>
      <c r="Q440" s="1"/>
      <c r="R440" s="1"/>
      <c r="S440" s="1"/>
    </row>
    <row r="441" spans="1:19" s="62" customFormat="1" ht="37.5">
      <c r="A441" s="1"/>
      <c r="B441" s="171"/>
      <c r="C441" s="168"/>
      <c r="D441" s="140"/>
      <c r="E441" s="168"/>
      <c r="F441" s="168"/>
      <c r="G441" s="169"/>
      <c r="H441" s="139"/>
      <c r="I441" s="141"/>
      <c r="J441" s="142"/>
      <c r="K441" s="167" t="s">
        <v>903</v>
      </c>
      <c r="N441" s="1"/>
      <c r="O441" s="1"/>
      <c r="P441" s="1"/>
      <c r="Q441" s="1"/>
      <c r="R441" s="1"/>
      <c r="S441" s="1"/>
    </row>
    <row r="442" spans="1:19" s="62" customFormat="1" ht="37.5">
      <c r="A442" s="1"/>
      <c r="B442" s="171" t="s">
        <v>86</v>
      </c>
      <c r="C442" s="168"/>
      <c r="D442" s="140"/>
      <c r="E442" s="168">
        <v>0.56999999999999995</v>
      </c>
      <c r="F442" s="168"/>
      <c r="G442" s="169"/>
      <c r="H442" s="139">
        <v>0.26600000000000001</v>
      </c>
      <c r="I442" s="141">
        <f t="shared" si="13"/>
        <v>-0.30399999999999994</v>
      </c>
      <c r="J442" s="142">
        <f t="shared" si="14"/>
        <v>-114.28571428571426</v>
      </c>
      <c r="K442" s="167" t="s">
        <v>904</v>
      </c>
      <c r="N442" s="1"/>
      <c r="O442" s="1"/>
      <c r="P442" s="1"/>
      <c r="Q442" s="1"/>
      <c r="R442" s="1"/>
      <c r="S442" s="1"/>
    </row>
    <row r="443" spans="1:19" s="62" customFormat="1" ht="37.5">
      <c r="A443" s="1"/>
      <c r="B443" s="171"/>
      <c r="C443" s="168"/>
      <c r="D443" s="140"/>
      <c r="E443" s="168"/>
      <c r="F443" s="168"/>
      <c r="G443" s="169"/>
      <c r="H443" s="139"/>
      <c r="I443" s="141"/>
      <c r="J443" s="142"/>
      <c r="K443" s="167" t="s">
        <v>905</v>
      </c>
      <c r="N443" s="1"/>
      <c r="O443" s="1"/>
      <c r="P443" s="1"/>
      <c r="Q443" s="1"/>
      <c r="R443" s="1"/>
      <c r="S443" s="1"/>
    </row>
    <row r="444" spans="1:19" s="62" customFormat="1" ht="37.5">
      <c r="A444" s="1"/>
      <c r="B444" s="171"/>
      <c r="C444" s="168"/>
      <c r="D444" s="140"/>
      <c r="E444" s="168"/>
      <c r="F444" s="168"/>
      <c r="G444" s="169"/>
      <c r="H444" s="139"/>
      <c r="I444" s="141"/>
      <c r="J444" s="142"/>
      <c r="K444" s="167" t="s">
        <v>906</v>
      </c>
      <c r="N444" s="1"/>
      <c r="O444" s="1"/>
      <c r="P444" s="1"/>
      <c r="Q444" s="1"/>
      <c r="R444" s="1"/>
      <c r="S444" s="1"/>
    </row>
    <row r="445" spans="1:19" s="62" customFormat="1" ht="37.5">
      <c r="A445" s="1"/>
      <c r="B445" s="171" t="s">
        <v>157</v>
      </c>
      <c r="C445" s="168"/>
      <c r="D445" s="140"/>
      <c r="E445" s="168">
        <v>5.1325000000000003</v>
      </c>
      <c r="F445" s="168"/>
      <c r="G445" s="169"/>
      <c r="H445" s="139">
        <v>5.7507999999999999</v>
      </c>
      <c r="I445" s="141">
        <f t="shared" ref="I445:I459" si="15">+H445-E445</f>
        <v>0.61829999999999963</v>
      </c>
      <c r="J445" s="142">
        <f t="shared" si="14"/>
        <v>10.751547610767192</v>
      </c>
      <c r="K445" s="167" t="s">
        <v>907</v>
      </c>
      <c r="N445" s="1"/>
      <c r="O445" s="1"/>
      <c r="P445" s="1"/>
      <c r="Q445" s="1"/>
      <c r="R445" s="1"/>
      <c r="S445" s="1"/>
    </row>
    <row r="446" spans="1:19" s="62" customFormat="1" ht="37.5">
      <c r="A446" s="1"/>
      <c r="B446" s="171"/>
      <c r="C446" s="168"/>
      <c r="D446" s="140"/>
      <c r="E446" s="168"/>
      <c r="F446" s="168"/>
      <c r="G446" s="169"/>
      <c r="H446" s="139"/>
      <c r="I446" s="141"/>
      <c r="J446" s="142"/>
      <c r="K446" s="167" t="s">
        <v>908</v>
      </c>
      <c r="N446" s="1"/>
      <c r="O446" s="1"/>
      <c r="P446" s="1"/>
      <c r="Q446" s="1"/>
      <c r="R446" s="1"/>
      <c r="S446" s="1"/>
    </row>
    <row r="447" spans="1:19" s="62" customFormat="1" ht="37.5">
      <c r="A447" s="1"/>
      <c r="B447" s="171"/>
      <c r="C447" s="168"/>
      <c r="D447" s="140"/>
      <c r="E447" s="168"/>
      <c r="F447" s="168"/>
      <c r="G447" s="169"/>
      <c r="H447" s="139"/>
      <c r="I447" s="141"/>
      <c r="J447" s="142"/>
      <c r="K447" s="167" t="s">
        <v>909</v>
      </c>
      <c r="N447" s="1"/>
      <c r="O447" s="1"/>
      <c r="P447" s="1"/>
      <c r="Q447" s="1"/>
      <c r="R447" s="1"/>
      <c r="S447" s="1"/>
    </row>
    <row r="448" spans="1:19" s="62" customFormat="1">
      <c r="A448" s="1"/>
      <c r="B448" s="171" t="s">
        <v>88</v>
      </c>
      <c r="C448" s="168"/>
      <c r="D448" s="140"/>
      <c r="E448" s="168">
        <v>0.28000000000000003</v>
      </c>
      <c r="F448" s="168"/>
      <c r="G448" s="169"/>
      <c r="H448" s="139"/>
      <c r="I448" s="141">
        <f t="shared" si="15"/>
        <v>-0.28000000000000003</v>
      </c>
      <c r="J448" s="142"/>
      <c r="K448" s="170"/>
      <c r="N448" s="1"/>
      <c r="O448" s="1"/>
      <c r="P448" s="1"/>
      <c r="Q448" s="1"/>
      <c r="R448" s="1"/>
      <c r="S448" s="1"/>
    </row>
    <row r="449" spans="1:19" s="62" customFormat="1" ht="40.5">
      <c r="A449" s="1"/>
      <c r="B449" s="167" t="s">
        <v>69</v>
      </c>
      <c r="C449" s="168"/>
      <c r="D449" s="140"/>
      <c r="E449" s="168"/>
      <c r="F449" s="168"/>
      <c r="G449" s="169"/>
      <c r="H449" s="139">
        <f>+H452</f>
        <v>0.18</v>
      </c>
      <c r="I449" s="141">
        <f t="shared" si="15"/>
        <v>0.18</v>
      </c>
      <c r="J449" s="142">
        <f t="shared" si="14"/>
        <v>100</v>
      </c>
      <c r="K449" s="170"/>
      <c r="N449" s="1"/>
      <c r="O449" s="1"/>
      <c r="P449" s="1"/>
      <c r="Q449" s="1"/>
      <c r="R449" s="1"/>
      <c r="S449" s="1"/>
    </row>
    <row r="450" spans="1:19" s="62" customFormat="1">
      <c r="A450" s="1"/>
      <c r="B450" s="171" t="s">
        <v>2</v>
      </c>
      <c r="C450" s="172"/>
      <c r="D450" s="173"/>
      <c r="E450" s="172"/>
      <c r="F450" s="168"/>
      <c r="G450" s="169"/>
      <c r="H450" s="172"/>
      <c r="I450" s="141"/>
      <c r="J450" s="142"/>
      <c r="K450" s="170"/>
      <c r="N450" s="1"/>
      <c r="O450" s="1"/>
      <c r="P450" s="1"/>
      <c r="Q450" s="1"/>
      <c r="R450" s="1"/>
      <c r="S450" s="1"/>
    </row>
    <row r="451" spans="1:19" s="62" customFormat="1">
      <c r="A451" s="1"/>
      <c r="B451" s="171" t="s">
        <v>3</v>
      </c>
      <c r="C451" s="172"/>
      <c r="D451" s="173"/>
      <c r="E451" s="172"/>
      <c r="F451" s="168"/>
      <c r="G451" s="169"/>
      <c r="H451" s="172"/>
      <c r="I451" s="141"/>
      <c r="J451" s="142"/>
      <c r="K451" s="170"/>
      <c r="N451" s="1"/>
      <c r="O451" s="1"/>
      <c r="P451" s="1"/>
      <c r="Q451" s="1"/>
      <c r="R451" s="1"/>
      <c r="S451" s="1"/>
    </row>
    <row r="452" spans="1:19" s="62" customFormat="1" ht="56.25">
      <c r="A452" s="1"/>
      <c r="B452" s="171" t="s">
        <v>910</v>
      </c>
      <c r="C452" s="168"/>
      <c r="D452" s="140"/>
      <c r="E452" s="168"/>
      <c r="F452" s="168"/>
      <c r="G452" s="169"/>
      <c r="H452" s="168">
        <v>0.18</v>
      </c>
      <c r="I452" s="141">
        <f t="shared" si="15"/>
        <v>0.18</v>
      </c>
      <c r="J452" s="142">
        <f t="shared" si="14"/>
        <v>100</v>
      </c>
      <c r="K452" s="167" t="s">
        <v>911</v>
      </c>
      <c r="N452" s="1"/>
      <c r="O452" s="1"/>
      <c r="P452" s="1"/>
      <c r="Q452" s="1"/>
      <c r="R452" s="1"/>
      <c r="S452" s="1"/>
    </row>
    <row r="453" spans="1:19" s="62" customFormat="1">
      <c r="A453" s="1"/>
      <c r="B453" s="167" t="s">
        <v>22</v>
      </c>
      <c r="C453" s="168"/>
      <c r="D453" s="140"/>
      <c r="E453" s="168"/>
      <c r="F453" s="168"/>
      <c r="G453" s="169"/>
      <c r="H453" s="168"/>
      <c r="I453" s="141"/>
      <c r="J453" s="142"/>
      <c r="K453" s="170"/>
      <c r="N453" s="1"/>
      <c r="O453" s="1"/>
      <c r="P453" s="1"/>
      <c r="Q453" s="1"/>
      <c r="R453" s="1"/>
      <c r="S453" s="1"/>
    </row>
    <row r="454" spans="1:19" s="62" customFormat="1">
      <c r="A454" s="1"/>
      <c r="B454" s="171" t="s">
        <v>21</v>
      </c>
      <c r="C454" s="168"/>
      <c r="D454" s="140"/>
      <c r="E454" s="168"/>
      <c r="F454" s="168"/>
      <c r="G454" s="169"/>
      <c r="H454" s="168"/>
      <c r="I454" s="141"/>
      <c r="J454" s="142"/>
      <c r="K454" s="170"/>
      <c r="N454" s="1"/>
      <c r="O454" s="1"/>
      <c r="P454" s="1"/>
      <c r="Q454" s="1"/>
      <c r="R454" s="1"/>
      <c r="S454" s="1"/>
    </row>
    <row r="455" spans="1:19" s="62" customFormat="1">
      <c r="A455" s="1"/>
      <c r="B455" s="167" t="s">
        <v>20</v>
      </c>
      <c r="C455" s="168"/>
      <c r="D455" s="140"/>
      <c r="E455" s="168"/>
      <c r="F455" s="168"/>
      <c r="G455" s="169"/>
      <c r="H455" s="168"/>
      <c r="I455" s="141"/>
      <c r="J455" s="142"/>
      <c r="K455" s="170"/>
      <c r="N455" s="1"/>
      <c r="O455" s="1"/>
      <c r="P455" s="1"/>
      <c r="Q455" s="1"/>
      <c r="R455" s="1"/>
      <c r="S455" s="1"/>
    </row>
    <row r="456" spans="1:19" s="62" customFormat="1">
      <c r="A456" s="1"/>
      <c r="B456" s="171" t="s">
        <v>17</v>
      </c>
      <c r="C456" s="168"/>
      <c r="D456" s="140"/>
      <c r="E456" s="168"/>
      <c r="F456" s="168"/>
      <c r="G456" s="169"/>
      <c r="H456" s="168"/>
      <c r="I456" s="141"/>
      <c r="J456" s="142"/>
      <c r="K456" s="170"/>
      <c r="N456" s="1"/>
      <c r="O456" s="1"/>
      <c r="P456" s="1"/>
      <c r="Q456" s="1"/>
      <c r="R456" s="1"/>
      <c r="S456" s="1"/>
    </row>
    <row r="457" spans="1:19" s="62" customFormat="1">
      <c r="A457" s="1"/>
      <c r="B457" s="216" t="s">
        <v>44</v>
      </c>
      <c r="C457" s="133"/>
      <c r="D457" s="134"/>
      <c r="E457" s="133">
        <f>SUM(E458:E459)</f>
        <v>1.7600000000000001E-2</v>
      </c>
      <c r="F457" s="133"/>
      <c r="G457" s="134"/>
      <c r="H457" s="133">
        <f>SUM(H458:H459)</f>
        <v>1.3000000000000001E-2</v>
      </c>
      <c r="I457" s="135">
        <f t="shared" si="15"/>
        <v>-4.5999999999999999E-3</v>
      </c>
      <c r="J457" s="136">
        <f t="shared" si="14"/>
        <v>-35.38461538461538</v>
      </c>
      <c r="K457" s="137"/>
      <c r="N457" s="1"/>
      <c r="O457" s="1"/>
      <c r="P457" s="1"/>
      <c r="Q457" s="1"/>
      <c r="R457" s="1"/>
      <c r="S457" s="1"/>
    </row>
    <row r="458" spans="1:19" s="62" customFormat="1" ht="37.5">
      <c r="A458" s="1"/>
      <c r="B458" s="171" t="s">
        <v>90</v>
      </c>
      <c r="C458" s="168"/>
      <c r="D458" s="140"/>
      <c r="E458" s="168">
        <v>1.7600000000000001E-2</v>
      </c>
      <c r="F458" s="168"/>
      <c r="G458" s="169"/>
      <c r="H458" s="168">
        <v>5.0000000000000001E-3</v>
      </c>
      <c r="I458" s="141">
        <f t="shared" si="15"/>
        <v>-1.26E-2</v>
      </c>
      <c r="J458" s="142">
        <f t="shared" si="14"/>
        <v>-252</v>
      </c>
      <c r="K458" s="167" t="s">
        <v>912</v>
      </c>
      <c r="N458" s="1"/>
      <c r="O458" s="1"/>
      <c r="P458" s="1"/>
      <c r="Q458" s="1"/>
      <c r="R458" s="1"/>
      <c r="S458" s="1"/>
    </row>
    <row r="459" spans="1:19" s="62" customFormat="1" ht="37.5">
      <c r="A459" s="1"/>
      <c r="B459" s="171" t="s">
        <v>91</v>
      </c>
      <c r="C459" s="168"/>
      <c r="D459" s="140"/>
      <c r="E459" s="168"/>
      <c r="F459" s="168"/>
      <c r="G459" s="169"/>
      <c r="H459" s="168">
        <v>8.0000000000000002E-3</v>
      </c>
      <c r="I459" s="141">
        <f t="shared" si="15"/>
        <v>8.0000000000000002E-3</v>
      </c>
      <c r="J459" s="142">
        <f t="shared" si="14"/>
        <v>100</v>
      </c>
      <c r="K459" s="167" t="s">
        <v>777</v>
      </c>
      <c r="N459" s="1"/>
      <c r="O459" s="1"/>
      <c r="P459" s="1"/>
      <c r="Q459" s="1"/>
      <c r="R459" s="1"/>
      <c r="S459" s="1"/>
    </row>
    <row r="460" spans="1:19" s="62" customFormat="1">
      <c r="A460" s="1"/>
      <c r="B460" s="179" t="s">
        <v>45</v>
      </c>
      <c r="C460" s="180"/>
      <c r="D460" s="181"/>
      <c r="E460" s="180">
        <f>SUM(E461:E465)</f>
        <v>0</v>
      </c>
      <c r="F460" s="180"/>
      <c r="G460" s="181"/>
      <c r="H460" s="180">
        <f>SUM(H461:H465)</f>
        <v>0</v>
      </c>
      <c r="I460" s="182"/>
      <c r="J460" s="183"/>
      <c r="K460" s="184"/>
      <c r="N460" s="1"/>
      <c r="O460" s="1"/>
      <c r="P460" s="1"/>
      <c r="Q460" s="1"/>
      <c r="R460" s="1"/>
      <c r="S460" s="1"/>
    </row>
    <row r="461" spans="1:19" s="62" customFormat="1">
      <c r="A461" s="1"/>
      <c r="B461" s="171" t="s">
        <v>106</v>
      </c>
      <c r="C461" s="168"/>
      <c r="D461" s="140"/>
      <c r="E461" s="168"/>
      <c r="F461" s="168"/>
      <c r="G461" s="169"/>
      <c r="H461" s="139"/>
      <c r="I461" s="141"/>
      <c r="J461" s="142"/>
      <c r="K461" s="170"/>
      <c r="N461" s="1"/>
      <c r="O461" s="1"/>
      <c r="P461" s="1"/>
      <c r="Q461" s="1"/>
      <c r="R461" s="1"/>
      <c r="S461" s="1"/>
    </row>
    <row r="462" spans="1:19" s="62" customFormat="1">
      <c r="A462" s="1"/>
      <c r="B462" s="171" t="s">
        <v>107</v>
      </c>
      <c r="C462" s="168"/>
      <c r="D462" s="140"/>
      <c r="E462" s="168"/>
      <c r="F462" s="168"/>
      <c r="G462" s="169"/>
      <c r="H462" s="139"/>
      <c r="I462" s="141"/>
      <c r="J462" s="142"/>
      <c r="K462" s="170"/>
      <c r="N462" s="1"/>
      <c r="O462" s="1"/>
      <c r="P462" s="1"/>
      <c r="Q462" s="1"/>
      <c r="R462" s="1"/>
      <c r="S462" s="1"/>
    </row>
    <row r="463" spans="1:19" s="62" customFormat="1">
      <c r="A463" s="1"/>
      <c r="B463" s="171" t="s">
        <v>108</v>
      </c>
      <c r="C463" s="168"/>
      <c r="D463" s="140"/>
      <c r="E463" s="168"/>
      <c r="F463" s="168"/>
      <c r="G463" s="169"/>
      <c r="H463" s="139"/>
      <c r="I463" s="141"/>
      <c r="J463" s="142"/>
      <c r="K463" s="170"/>
      <c r="N463" s="1"/>
      <c r="O463" s="1"/>
      <c r="P463" s="1"/>
      <c r="Q463" s="1"/>
      <c r="R463" s="1"/>
      <c r="S463" s="1"/>
    </row>
    <row r="464" spans="1:19" s="62" customFormat="1">
      <c r="A464" s="1"/>
      <c r="B464" s="171" t="s">
        <v>109</v>
      </c>
      <c r="C464" s="168"/>
      <c r="D464" s="140"/>
      <c r="E464" s="168"/>
      <c r="F464" s="168"/>
      <c r="G464" s="169"/>
      <c r="H464" s="139"/>
      <c r="I464" s="141"/>
      <c r="J464" s="142"/>
      <c r="K464" s="170"/>
      <c r="N464" s="1"/>
      <c r="O464" s="1"/>
      <c r="P464" s="1"/>
      <c r="Q464" s="1"/>
      <c r="R464" s="1"/>
      <c r="S464" s="1"/>
    </row>
    <row r="465" spans="1:19" s="62" customFormat="1">
      <c r="A465" s="1"/>
      <c r="B465" s="171" t="s">
        <v>111</v>
      </c>
      <c r="C465" s="168"/>
      <c r="D465" s="140"/>
      <c r="E465" s="168"/>
      <c r="F465" s="168"/>
      <c r="G465" s="169"/>
      <c r="H465" s="139"/>
      <c r="I465" s="141"/>
      <c r="J465" s="142"/>
      <c r="K465" s="170"/>
      <c r="N465" s="1"/>
      <c r="O465" s="1"/>
      <c r="P465" s="1"/>
      <c r="Q465" s="1"/>
      <c r="R465" s="1"/>
      <c r="S465" s="1"/>
    </row>
    <row r="466" spans="1:19" s="62" customFormat="1">
      <c r="A466" s="1"/>
      <c r="B466" s="221" t="s">
        <v>46</v>
      </c>
      <c r="C466" s="222"/>
      <c r="D466" s="223"/>
      <c r="E466" s="222">
        <f>+E467+E478</f>
        <v>0</v>
      </c>
      <c r="F466" s="222"/>
      <c r="G466" s="223"/>
      <c r="H466" s="222">
        <f>+H467+H478</f>
        <v>0</v>
      </c>
      <c r="I466" s="226"/>
      <c r="J466" s="226"/>
      <c r="K466" s="226"/>
      <c r="N466" s="1"/>
      <c r="O466" s="1"/>
      <c r="P466" s="1"/>
      <c r="Q466" s="1"/>
      <c r="R466" s="1"/>
      <c r="S466" s="1"/>
    </row>
    <row r="467" spans="1:19" s="62" customFormat="1">
      <c r="A467" s="1"/>
      <c r="B467" s="179" t="s">
        <v>47</v>
      </c>
      <c r="C467" s="180"/>
      <c r="D467" s="181"/>
      <c r="E467" s="180">
        <f>+E469</f>
        <v>0</v>
      </c>
      <c r="F467" s="180"/>
      <c r="G467" s="181"/>
      <c r="H467" s="180">
        <f>+H469</f>
        <v>0</v>
      </c>
      <c r="I467" s="184"/>
      <c r="J467" s="184"/>
      <c r="K467" s="184"/>
      <c r="N467" s="1"/>
      <c r="O467" s="1"/>
      <c r="P467" s="1"/>
      <c r="Q467" s="1"/>
      <c r="R467" s="1"/>
      <c r="S467" s="1"/>
    </row>
    <row r="468" spans="1:19" s="62" customFormat="1">
      <c r="A468" s="1"/>
      <c r="B468" s="167" t="s">
        <v>19</v>
      </c>
      <c r="C468" s="168"/>
      <c r="D468" s="140"/>
      <c r="E468" s="168"/>
      <c r="F468" s="168"/>
      <c r="G468" s="169"/>
      <c r="H468" s="168"/>
      <c r="I468" s="170"/>
      <c r="J468" s="170"/>
      <c r="K468" s="170"/>
      <c r="N468" s="1"/>
      <c r="O468" s="1"/>
      <c r="P468" s="1"/>
      <c r="Q468" s="1"/>
      <c r="R468" s="1"/>
      <c r="S468" s="1"/>
    </row>
    <row r="469" spans="1:19" s="62" customFormat="1">
      <c r="A469" s="1"/>
      <c r="B469" s="216" t="s">
        <v>110</v>
      </c>
      <c r="C469" s="133"/>
      <c r="D469" s="134"/>
      <c r="E469" s="133"/>
      <c r="F469" s="133"/>
      <c r="G469" s="134"/>
      <c r="H469" s="133"/>
      <c r="I469" s="137"/>
      <c r="J469" s="137"/>
      <c r="K469" s="137"/>
      <c r="N469" s="1"/>
      <c r="O469" s="1"/>
      <c r="P469" s="1"/>
      <c r="Q469" s="1"/>
      <c r="R469" s="1"/>
      <c r="S469" s="1"/>
    </row>
    <row r="470" spans="1:19" s="62" customFormat="1">
      <c r="A470" s="1"/>
      <c r="B470" s="171" t="s">
        <v>17</v>
      </c>
      <c r="C470" s="168"/>
      <c r="D470" s="140"/>
      <c r="E470" s="168"/>
      <c r="F470" s="168"/>
      <c r="G470" s="169"/>
      <c r="H470" s="168"/>
      <c r="I470" s="168"/>
      <c r="J470" s="168"/>
      <c r="K470" s="170"/>
      <c r="N470" s="1"/>
      <c r="O470" s="1"/>
      <c r="P470" s="1"/>
      <c r="Q470" s="1"/>
      <c r="R470" s="1"/>
      <c r="S470" s="1"/>
    </row>
    <row r="471" spans="1:19" s="62" customFormat="1">
      <c r="A471" s="1"/>
      <c r="B471" s="171" t="s">
        <v>18</v>
      </c>
      <c r="C471" s="168"/>
      <c r="D471" s="140"/>
      <c r="E471" s="168"/>
      <c r="F471" s="168"/>
      <c r="G471" s="169"/>
      <c r="H471" s="168"/>
      <c r="I471" s="168"/>
      <c r="J471" s="168"/>
      <c r="K471" s="170"/>
      <c r="N471" s="1"/>
      <c r="O471" s="1"/>
      <c r="P471" s="1"/>
      <c r="Q471" s="1"/>
      <c r="R471" s="1"/>
      <c r="S471" s="1"/>
    </row>
    <row r="472" spans="1:19" s="62" customFormat="1">
      <c r="A472" s="1"/>
      <c r="B472" s="167" t="s">
        <v>22</v>
      </c>
      <c r="C472" s="168"/>
      <c r="D472" s="140"/>
      <c r="E472" s="168"/>
      <c r="F472" s="168"/>
      <c r="G472" s="169"/>
      <c r="H472" s="168"/>
      <c r="I472" s="168"/>
      <c r="J472" s="168"/>
      <c r="K472" s="170"/>
      <c r="N472" s="1"/>
      <c r="O472" s="1"/>
      <c r="P472" s="1"/>
      <c r="Q472" s="1"/>
      <c r="R472" s="1"/>
      <c r="S472" s="1"/>
    </row>
    <row r="473" spans="1:19" s="62" customFormat="1">
      <c r="A473" s="1"/>
      <c r="B473" s="167" t="s">
        <v>48</v>
      </c>
      <c r="C473" s="168"/>
      <c r="D473" s="140"/>
      <c r="E473" s="168"/>
      <c r="F473" s="168"/>
      <c r="G473" s="169"/>
      <c r="H473" s="168"/>
      <c r="I473" s="168"/>
      <c r="J473" s="168"/>
      <c r="K473" s="170"/>
      <c r="N473" s="1"/>
      <c r="O473" s="1"/>
      <c r="P473" s="1"/>
      <c r="Q473" s="1"/>
      <c r="R473" s="1"/>
      <c r="S473" s="1"/>
    </row>
    <row r="474" spans="1:19" s="62" customFormat="1">
      <c r="A474" s="1"/>
      <c r="B474" s="171" t="s">
        <v>23</v>
      </c>
      <c r="C474" s="168"/>
      <c r="D474" s="140"/>
      <c r="E474" s="168"/>
      <c r="F474" s="168"/>
      <c r="G474" s="169"/>
      <c r="H474" s="168"/>
      <c r="I474" s="168"/>
      <c r="J474" s="168"/>
      <c r="K474" s="170"/>
      <c r="N474" s="1"/>
      <c r="O474" s="1"/>
      <c r="P474" s="1"/>
      <c r="Q474" s="1"/>
      <c r="R474" s="1"/>
      <c r="S474" s="1"/>
    </row>
    <row r="475" spans="1:19" s="62" customFormat="1">
      <c r="A475" s="1"/>
      <c r="B475" s="167" t="s">
        <v>20</v>
      </c>
      <c r="C475" s="168"/>
      <c r="D475" s="140"/>
      <c r="E475" s="168"/>
      <c r="F475" s="168"/>
      <c r="G475" s="169"/>
      <c r="H475" s="168"/>
      <c r="I475" s="168"/>
      <c r="J475" s="168"/>
      <c r="K475" s="170"/>
      <c r="N475" s="1"/>
      <c r="O475" s="1"/>
      <c r="P475" s="1"/>
      <c r="Q475" s="1"/>
      <c r="R475" s="1"/>
      <c r="S475" s="1"/>
    </row>
    <row r="476" spans="1:19" s="62" customFormat="1">
      <c r="A476" s="1"/>
      <c r="B476" s="167" t="s">
        <v>48</v>
      </c>
      <c r="C476" s="168"/>
      <c r="D476" s="140"/>
      <c r="E476" s="168"/>
      <c r="F476" s="168"/>
      <c r="G476" s="169"/>
      <c r="H476" s="168"/>
      <c r="I476" s="168"/>
      <c r="J476" s="168"/>
      <c r="K476" s="170"/>
      <c r="N476" s="1"/>
      <c r="O476" s="1"/>
      <c r="P476" s="1"/>
      <c r="Q476" s="1"/>
      <c r="R476" s="1"/>
      <c r="S476" s="1"/>
    </row>
    <row r="477" spans="1:19" s="62" customFormat="1">
      <c r="A477" s="1"/>
      <c r="B477" s="171" t="s">
        <v>23</v>
      </c>
      <c r="C477" s="168"/>
      <c r="D477" s="140"/>
      <c r="E477" s="168"/>
      <c r="F477" s="168"/>
      <c r="G477" s="169"/>
      <c r="H477" s="168"/>
      <c r="I477" s="168"/>
      <c r="J477" s="168"/>
      <c r="K477" s="170"/>
      <c r="N477" s="1"/>
      <c r="O477" s="1"/>
      <c r="P477" s="1"/>
      <c r="Q477" s="1"/>
      <c r="R477" s="1"/>
      <c r="S477" s="1"/>
    </row>
    <row r="478" spans="1:19" s="62" customFormat="1">
      <c r="A478" s="1"/>
      <c r="B478" s="179" t="s">
        <v>49</v>
      </c>
      <c r="C478" s="180"/>
      <c r="D478" s="181"/>
      <c r="E478" s="180">
        <f>+E480</f>
        <v>0</v>
      </c>
      <c r="F478" s="180"/>
      <c r="G478" s="181"/>
      <c r="H478" s="180">
        <f>+H480</f>
        <v>0</v>
      </c>
      <c r="I478" s="184"/>
      <c r="J478" s="184"/>
      <c r="K478" s="184"/>
      <c r="N478" s="1"/>
      <c r="O478" s="1"/>
      <c r="P478" s="1"/>
      <c r="Q478" s="1"/>
      <c r="R478" s="1"/>
      <c r="S478" s="1"/>
    </row>
    <row r="479" spans="1:19" s="62" customFormat="1">
      <c r="A479" s="1"/>
      <c r="B479" s="167" t="s">
        <v>19</v>
      </c>
      <c r="C479" s="168"/>
      <c r="D479" s="140"/>
      <c r="E479" s="168"/>
      <c r="F479" s="168"/>
      <c r="G479" s="169"/>
      <c r="H479" s="168"/>
      <c r="I479" s="170"/>
      <c r="J479" s="170"/>
      <c r="K479" s="170"/>
      <c r="N479" s="1"/>
      <c r="O479" s="1"/>
      <c r="P479" s="1"/>
      <c r="Q479" s="1"/>
      <c r="R479" s="1"/>
      <c r="S479" s="1"/>
    </row>
    <row r="480" spans="1:19" s="62" customFormat="1">
      <c r="A480" s="1"/>
      <c r="B480" s="216" t="s">
        <v>50</v>
      </c>
      <c r="C480" s="133"/>
      <c r="D480" s="134"/>
      <c r="E480" s="133"/>
      <c r="F480" s="133"/>
      <c r="G480" s="134"/>
      <c r="H480" s="133"/>
      <c r="I480" s="137"/>
      <c r="J480" s="137"/>
      <c r="K480" s="137"/>
      <c r="N480" s="1"/>
      <c r="O480" s="1"/>
      <c r="P480" s="1"/>
      <c r="Q480" s="1"/>
      <c r="R480" s="1"/>
      <c r="S480" s="1"/>
    </row>
    <row r="481" spans="1:19" s="62" customFormat="1" ht="27.75" customHeight="1">
      <c r="A481" s="16"/>
      <c r="B481" s="171" t="s">
        <v>17</v>
      </c>
      <c r="C481" s="168"/>
      <c r="D481" s="140"/>
      <c r="E481" s="168"/>
      <c r="F481" s="168"/>
      <c r="G481" s="169"/>
      <c r="H481" s="139"/>
      <c r="I481" s="141"/>
      <c r="J481" s="142"/>
      <c r="K481" s="143"/>
      <c r="N481" s="1"/>
      <c r="O481" s="1"/>
      <c r="P481" s="1"/>
      <c r="Q481" s="1"/>
      <c r="R481" s="1"/>
      <c r="S481" s="1"/>
    </row>
    <row r="482" spans="1:19" s="62" customFormat="1" ht="27.75" customHeight="1">
      <c r="A482" s="1"/>
      <c r="B482" s="171" t="s">
        <v>18</v>
      </c>
      <c r="C482" s="168"/>
      <c r="D482" s="140"/>
      <c r="E482" s="168"/>
      <c r="F482" s="168"/>
      <c r="G482" s="169"/>
      <c r="H482" s="139"/>
      <c r="I482" s="141"/>
      <c r="J482" s="142"/>
      <c r="K482" s="143"/>
      <c r="N482" s="1"/>
      <c r="O482" s="1"/>
      <c r="P482" s="1"/>
      <c r="Q482" s="1"/>
      <c r="R482" s="1"/>
      <c r="S482" s="1"/>
    </row>
    <row r="483" spans="1:19" s="62" customFormat="1">
      <c r="A483" s="1"/>
      <c r="B483" s="167" t="s">
        <v>22</v>
      </c>
      <c r="C483" s="168"/>
      <c r="D483" s="140"/>
      <c r="E483" s="168"/>
      <c r="F483" s="168"/>
      <c r="G483" s="169"/>
      <c r="H483" s="139"/>
      <c r="I483" s="141"/>
      <c r="J483" s="142"/>
      <c r="K483" s="143"/>
      <c r="N483" s="1"/>
      <c r="O483" s="1"/>
      <c r="P483" s="1"/>
      <c r="Q483" s="1"/>
      <c r="R483" s="1"/>
      <c r="S483" s="1"/>
    </row>
    <row r="484" spans="1:19" s="62" customFormat="1">
      <c r="A484" s="1"/>
      <c r="B484" s="167" t="s">
        <v>51</v>
      </c>
      <c r="C484" s="168"/>
      <c r="D484" s="140"/>
      <c r="E484" s="168"/>
      <c r="F484" s="168"/>
      <c r="G484" s="169"/>
      <c r="H484" s="139"/>
      <c r="I484" s="141"/>
      <c r="J484" s="142"/>
      <c r="K484" s="143"/>
      <c r="N484" s="1"/>
      <c r="O484" s="1"/>
      <c r="P484" s="1"/>
      <c r="Q484" s="1"/>
      <c r="R484" s="1"/>
      <c r="S484" s="1"/>
    </row>
    <row r="485" spans="1:19" s="62" customFormat="1">
      <c r="A485" s="1"/>
      <c r="B485" s="171" t="s">
        <v>23</v>
      </c>
      <c r="C485" s="168"/>
      <c r="D485" s="140"/>
      <c r="E485" s="168"/>
      <c r="F485" s="168"/>
      <c r="G485" s="169"/>
      <c r="H485" s="139"/>
      <c r="I485" s="141"/>
      <c r="J485" s="142"/>
      <c r="K485" s="143"/>
      <c r="N485" s="1"/>
      <c r="O485" s="1"/>
      <c r="P485" s="1"/>
      <c r="Q485" s="1"/>
      <c r="R485" s="1"/>
      <c r="S485" s="1"/>
    </row>
    <row r="486" spans="1:19" s="62" customFormat="1">
      <c r="A486" s="1"/>
      <c r="B486" s="167" t="s">
        <v>20</v>
      </c>
      <c r="C486" s="168"/>
      <c r="D486" s="140"/>
      <c r="E486" s="168"/>
      <c r="F486" s="168"/>
      <c r="G486" s="169"/>
      <c r="H486" s="139"/>
      <c r="I486" s="141"/>
      <c r="J486" s="142"/>
      <c r="K486" s="143"/>
      <c r="N486" s="1"/>
      <c r="O486" s="1"/>
      <c r="P486" s="1"/>
      <c r="Q486" s="1"/>
      <c r="R486" s="1"/>
      <c r="S486" s="1"/>
    </row>
    <row r="487" spans="1:19" s="62" customFormat="1">
      <c r="A487" s="1"/>
      <c r="B487" s="167" t="s">
        <v>51</v>
      </c>
      <c r="C487" s="168"/>
      <c r="D487" s="140"/>
      <c r="E487" s="168"/>
      <c r="F487" s="168"/>
      <c r="G487" s="169"/>
      <c r="H487" s="139"/>
      <c r="I487" s="141"/>
      <c r="J487" s="142"/>
      <c r="K487" s="143"/>
      <c r="N487" s="1"/>
      <c r="O487" s="1"/>
      <c r="P487" s="1"/>
      <c r="Q487" s="1"/>
      <c r="R487" s="1"/>
      <c r="S487" s="1"/>
    </row>
    <row r="488" spans="1:19" s="62" customFormat="1">
      <c r="A488" s="1"/>
      <c r="B488" s="171" t="s">
        <v>23</v>
      </c>
      <c r="C488" s="168"/>
      <c r="D488" s="140"/>
      <c r="E488" s="168"/>
      <c r="F488" s="168"/>
      <c r="G488" s="169"/>
      <c r="H488" s="139"/>
      <c r="I488" s="141"/>
      <c r="J488" s="142"/>
      <c r="K488" s="143"/>
      <c r="N488" s="1"/>
      <c r="O488" s="1"/>
      <c r="P488" s="1"/>
      <c r="Q488" s="1"/>
      <c r="R488" s="1"/>
      <c r="S488" s="1"/>
    </row>
    <row r="489" spans="1:19" s="62" customFormat="1">
      <c r="A489" s="1"/>
      <c r="B489" s="216" t="s">
        <v>53</v>
      </c>
      <c r="C489" s="133"/>
      <c r="D489" s="134"/>
      <c r="E489" s="133">
        <f>+E491</f>
        <v>3.85</v>
      </c>
      <c r="F489" s="133"/>
      <c r="G489" s="134"/>
      <c r="H489" s="133">
        <f>+H491</f>
        <v>21.51</v>
      </c>
      <c r="I489" s="135">
        <f t="shared" ref="I489:I530" si="16">+H489-E489</f>
        <v>17.66</v>
      </c>
      <c r="J489" s="136">
        <f t="shared" ref="J489:J530" si="17">+I489*100/H489</f>
        <v>82.101348210134816</v>
      </c>
      <c r="K489" s="137"/>
      <c r="N489" s="1"/>
      <c r="O489" s="1"/>
      <c r="P489" s="1"/>
      <c r="Q489" s="1"/>
      <c r="R489" s="1"/>
      <c r="S489" s="1"/>
    </row>
    <row r="490" spans="1:19" s="62" customFormat="1">
      <c r="A490" s="1"/>
      <c r="B490" s="167" t="s">
        <v>52</v>
      </c>
      <c r="C490" s="168"/>
      <c r="D490" s="140"/>
      <c r="E490" s="168"/>
      <c r="F490" s="168"/>
      <c r="G490" s="169"/>
      <c r="H490" s="168"/>
      <c r="I490" s="141">
        <f t="shared" si="16"/>
        <v>0</v>
      </c>
      <c r="J490" s="142"/>
      <c r="K490" s="170"/>
      <c r="N490" s="1"/>
      <c r="O490" s="1"/>
      <c r="P490" s="1"/>
      <c r="Q490" s="1"/>
      <c r="R490" s="1"/>
      <c r="S490" s="1"/>
    </row>
    <row r="491" spans="1:19" s="62" customFormat="1" ht="93.75">
      <c r="A491" s="1"/>
      <c r="B491" s="167" t="s">
        <v>182</v>
      </c>
      <c r="C491" s="168"/>
      <c r="D491" s="140"/>
      <c r="E491" s="168">
        <v>3.85</v>
      </c>
      <c r="F491" s="168"/>
      <c r="G491" s="169"/>
      <c r="H491" s="168">
        <v>21.51</v>
      </c>
      <c r="I491" s="141">
        <f t="shared" si="16"/>
        <v>17.66</v>
      </c>
      <c r="J491" s="142">
        <f t="shared" si="17"/>
        <v>82.101348210134816</v>
      </c>
      <c r="K491" s="167" t="s">
        <v>913</v>
      </c>
      <c r="N491" s="1"/>
      <c r="O491" s="1"/>
      <c r="P491" s="1"/>
      <c r="Q491" s="1"/>
      <c r="R491" s="1"/>
      <c r="S491" s="1"/>
    </row>
    <row r="492" spans="1:19" s="62" customFormat="1">
      <c r="A492" s="1"/>
      <c r="B492" s="167"/>
      <c r="C492" s="168"/>
      <c r="D492" s="140"/>
      <c r="E492" s="168"/>
      <c r="F492" s="168"/>
      <c r="G492" s="169"/>
      <c r="H492" s="168"/>
      <c r="I492" s="141"/>
      <c r="J492" s="142"/>
      <c r="K492" s="170"/>
      <c r="N492" s="1"/>
      <c r="O492" s="1"/>
      <c r="P492" s="1"/>
      <c r="Q492" s="1"/>
      <c r="R492" s="1"/>
      <c r="S492" s="1"/>
    </row>
    <row r="493" spans="1:19" s="62" customFormat="1">
      <c r="A493" s="1"/>
      <c r="B493" s="185" t="s">
        <v>56</v>
      </c>
      <c r="C493" s="145"/>
      <c r="D493" s="146"/>
      <c r="E493" s="145">
        <f>SUM(E494:E494)</f>
        <v>0</v>
      </c>
      <c r="F493" s="145"/>
      <c r="G493" s="146"/>
      <c r="H493" s="145">
        <f>SUM(H494:H494)</f>
        <v>0</v>
      </c>
      <c r="I493" s="149"/>
      <c r="J493" s="149"/>
      <c r="K493" s="149"/>
      <c r="N493" s="1"/>
      <c r="O493" s="1"/>
      <c r="P493" s="1"/>
      <c r="Q493" s="1"/>
      <c r="R493" s="1"/>
      <c r="S493" s="1"/>
    </row>
    <row r="494" spans="1:19" s="62" customFormat="1">
      <c r="A494" s="1"/>
      <c r="B494" s="167"/>
      <c r="C494" s="168"/>
      <c r="D494" s="140"/>
      <c r="E494" s="168"/>
      <c r="F494" s="168"/>
      <c r="G494" s="169"/>
      <c r="H494" s="168"/>
      <c r="I494" s="170"/>
      <c r="J494" s="170"/>
      <c r="K494" s="170"/>
      <c r="N494" s="1"/>
      <c r="O494" s="1"/>
      <c r="P494" s="1"/>
      <c r="Q494" s="1"/>
      <c r="R494" s="1"/>
      <c r="S494" s="1"/>
    </row>
    <row r="495" spans="1:19" s="62" customFormat="1">
      <c r="A495" s="1"/>
      <c r="B495" s="167"/>
      <c r="C495" s="168"/>
      <c r="D495" s="140"/>
      <c r="E495" s="168"/>
      <c r="F495" s="168"/>
      <c r="G495" s="169"/>
      <c r="H495" s="168"/>
      <c r="I495" s="170"/>
      <c r="J495" s="170"/>
      <c r="K495" s="170"/>
      <c r="N495" s="1"/>
      <c r="O495" s="1"/>
      <c r="P495" s="1"/>
      <c r="Q495" s="1"/>
      <c r="R495" s="1"/>
      <c r="S495" s="1"/>
    </row>
    <row r="496" spans="1:19" s="62" customFormat="1" ht="37.5">
      <c r="A496" s="1"/>
      <c r="B496" s="156" t="s">
        <v>928</v>
      </c>
      <c r="C496" s="157"/>
      <c r="D496" s="158"/>
      <c r="E496" s="157">
        <f>+E497</f>
        <v>0</v>
      </c>
      <c r="F496" s="157"/>
      <c r="G496" s="158"/>
      <c r="H496" s="157">
        <f>+H497</f>
        <v>10</v>
      </c>
      <c r="I496" s="159">
        <f t="shared" si="16"/>
        <v>10</v>
      </c>
      <c r="J496" s="160">
        <f t="shared" si="17"/>
        <v>100</v>
      </c>
      <c r="K496" s="161"/>
      <c r="N496" s="1"/>
      <c r="O496" s="1"/>
      <c r="P496" s="1"/>
      <c r="Q496" s="1"/>
      <c r="R496" s="1"/>
      <c r="S496" s="1"/>
    </row>
    <row r="497" spans="1:19" s="62" customFormat="1" ht="37.5">
      <c r="A497" s="1"/>
      <c r="B497" s="248" t="s">
        <v>929</v>
      </c>
      <c r="C497" s="249"/>
      <c r="D497" s="250"/>
      <c r="E497" s="249">
        <f>+E498</f>
        <v>0</v>
      </c>
      <c r="F497" s="249"/>
      <c r="G497" s="250"/>
      <c r="H497" s="249">
        <f>+H498</f>
        <v>10</v>
      </c>
      <c r="I497" s="251">
        <f t="shared" si="16"/>
        <v>10</v>
      </c>
      <c r="J497" s="252">
        <f t="shared" si="17"/>
        <v>100</v>
      </c>
      <c r="K497" s="253"/>
      <c r="N497" s="1"/>
      <c r="O497" s="1"/>
      <c r="P497" s="1"/>
      <c r="Q497" s="1"/>
      <c r="R497" s="1"/>
      <c r="S497" s="1"/>
    </row>
    <row r="498" spans="1:19" s="62" customFormat="1" ht="37.5">
      <c r="A498" s="1"/>
      <c r="B498" s="202" t="s">
        <v>930</v>
      </c>
      <c r="C498" s="172"/>
      <c r="D498" s="173"/>
      <c r="E498" s="139">
        <f>+E502+E537+E560+E564</f>
        <v>0</v>
      </c>
      <c r="F498" s="172"/>
      <c r="G498" s="173"/>
      <c r="H498" s="139">
        <f>+H502+H537+H560+H564</f>
        <v>10</v>
      </c>
      <c r="I498" s="141">
        <f t="shared" si="16"/>
        <v>10</v>
      </c>
      <c r="J498" s="142">
        <f t="shared" si="17"/>
        <v>100</v>
      </c>
      <c r="K498" s="170"/>
      <c r="N498" s="1"/>
      <c r="O498" s="1"/>
      <c r="P498" s="1"/>
      <c r="Q498" s="1"/>
      <c r="R498" s="1"/>
      <c r="S498" s="1"/>
    </row>
    <row r="499" spans="1:19" s="62" customFormat="1">
      <c r="A499" s="1"/>
      <c r="B499" s="266" t="s">
        <v>24</v>
      </c>
      <c r="C499" s="168"/>
      <c r="D499" s="169"/>
      <c r="E499" s="172"/>
      <c r="F499" s="139"/>
      <c r="G499" s="140"/>
      <c r="H499" s="172"/>
      <c r="I499" s="141"/>
      <c r="J499" s="142"/>
      <c r="K499" s="170"/>
      <c r="N499" s="1"/>
      <c r="O499" s="1"/>
      <c r="P499" s="1"/>
      <c r="Q499" s="1"/>
      <c r="R499" s="1"/>
      <c r="S499" s="1"/>
    </row>
    <row r="500" spans="1:19" s="62" customFormat="1" ht="32.25">
      <c r="A500" s="1"/>
      <c r="B500" s="231" t="s">
        <v>68</v>
      </c>
      <c r="C500" s="267" t="s">
        <v>25</v>
      </c>
      <c r="D500" s="268"/>
      <c r="E500" s="267" t="s">
        <v>58</v>
      </c>
      <c r="F500" s="267"/>
      <c r="G500" s="268" t="s">
        <v>26</v>
      </c>
      <c r="H500" s="267"/>
      <c r="I500" s="141"/>
      <c r="J500" s="142"/>
      <c r="K500" s="269"/>
      <c r="N500" s="1"/>
      <c r="O500" s="1"/>
      <c r="P500" s="1"/>
      <c r="Q500" s="1"/>
      <c r="R500" s="1"/>
      <c r="S500" s="1"/>
    </row>
    <row r="501" spans="1:19" s="62" customFormat="1" ht="32.25">
      <c r="A501" s="1"/>
      <c r="B501" s="231"/>
      <c r="C501" s="267" t="s">
        <v>60</v>
      </c>
      <c r="D501" s="268"/>
      <c r="E501" s="267" t="s">
        <v>62</v>
      </c>
      <c r="F501" s="267"/>
      <c r="G501" s="268" t="s">
        <v>61</v>
      </c>
      <c r="H501" s="267"/>
      <c r="I501" s="141"/>
      <c r="J501" s="142"/>
      <c r="K501" s="269"/>
      <c r="N501" s="1"/>
      <c r="O501" s="1"/>
      <c r="P501" s="1"/>
      <c r="Q501" s="1"/>
      <c r="R501" s="1"/>
      <c r="S501" s="1"/>
    </row>
    <row r="502" spans="1:19" s="62" customFormat="1">
      <c r="A502" s="1"/>
      <c r="B502" s="177" t="s">
        <v>38</v>
      </c>
      <c r="C502" s="121"/>
      <c r="D502" s="122"/>
      <c r="E502" s="121">
        <f>+E503+E531</f>
        <v>0</v>
      </c>
      <c r="F502" s="121"/>
      <c r="G502" s="122"/>
      <c r="H502" s="121">
        <f>+H503+H531</f>
        <v>10</v>
      </c>
      <c r="I502" s="123">
        <f t="shared" si="16"/>
        <v>10</v>
      </c>
      <c r="J502" s="124">
        <f t="shared" si="17"/>
        <v>100</v>
      </c>
      <c r="K502" s="125"/>
      <c r="N502" s="1"/>
      <c r="O502" s="1"/>
      <c r="P502" s="1"/>
      <c r="Q502" s="1"/>
      <c r="R502" s="1"/>
      <c r="S502" s="1"/>
    </row>
    <row r="503" spans="1:19" s="62" customFormat="1">
      <c r="A503" s="1"/>
      <c r="B503" s="179" t="s">
        <v>41</v>
      </c>
      <c r="C503" s="180"/>
      <c r="D503" s="181"/>
      <c r="E503" s="180">
        <f>+E504+E507+E528</f>
        <v>0</v>
      </c>
      <c r="F503" s="180"/>
      <c r="G503" s="181"/>
      <c r="H503" s="180">
        <f>+H504+H507+H528</f>
        <v>10</v>
      </c>
      <c r="I503" s="182">
        <f t="shared" si="16"/>
        <v>10</v>
      </c>
      <c r="J503" s="183">
        <f t="shared" si="17"/>
        <v>100</v>
      </c>
      <c r="K503" s="184"/>
      <c r="N503" s="1"/>
      <c r="O503" s="1"/>
      <c r="P503" s="1"/>
      <c r="Q503" s="1"/>
      <c r="R503" s="1"/>
      <c r="S503" s="1"/>
    </row>
    <row r="504" spans="1:19" s="62" customFormat="1">
      <c r="A504" s="1"/>
      <c r="B504" s="216" t="s">
        <v>42</v>
      </c>
      <c r="C504" s="133"/>
      <c r="D504" s="134"/>
      <c r="E504" s="133">
        <f>SUM(E505:E505)</f>
        <v>0</v>
      </c>
      <c r="F504" s="133"/>
      <c r="G504" s="134"/>
      <c r="H504" s="133">
        <f>SUM(H505:H505)</f>
        <v>0</v>
      </c>
      <c r="I504" s="135"/>
      <c r="J504" s="136"/>
      <c r="K504" s="137"/>
      <c r="N504" s="1"/>
      <c r="O504" s="1"/>
      <c r="P504" s="1"/>
      <c r="Q504" s="1"/>
      <c r="R504" s="1"/>
      <c r="S504" s="1"/>
    </row>
    <row r="505" spans="1:19" s="62" customFormat="1">
      <c r="A505" s="1"/>
      <c r="B505" s="171" t="s">
        <v>112</v>
      </c>
      <c r="C505" s="168"/>
      <c r="D505" s="140"/>
      <c r="E505" s="168"/>
      <c r="F505" s="168"/>
      <c r="G505" s="169"/>
      <c r="H505" s="168"/>
      <c r="I505" s="168"/>
      <c r="J505" s="168"/>
      <c r="K505" s="170"/>
      <c r="N505" s="1"/>
      <c r="O505" s="1"/>
      <c r="P505" s="1"/>
      <c r="Q505" s="1"/>
      <c r="R505" s="1"/>
      <c r="S505" s="1"/>
    </row>
    <row r="506" spans="1:19" s="62" customFormat="1">
      <c r="A506" s="1"/>
      <c r="B506" s="171"/>
      <c r="C506" s="168"/>
      <c r="D506" s="140"/>
      <c r="E506" s="168"/>
      <c r="F506" s="168"/>
      <c r="G506" s="169"/>
      <c r="H506" s="168"/>
      <c r="I506" s="168"/>
      <c r="J506" s="168"/>
      <c r="K506" s="170"/>
      <c r="N506" s="1"/>
      <c r="O506" s="1"/>
      <c r="P506" s="1"/>
      <c r="Q506" s="1"/>
      <c r="R506" s="1"/>
      <c r="S506" s="1"/>
    </row>
    <row r="507" spans="1:19" s="62" customFormat="1">
      <c r="A507" s="1"/>
      <c r="B507" s="216" t="s">
        <v>43</v>
      </c>
      <c r="C507" s="133"/>
      <c r="D507" s="134"/>
      <c r="E507" s="133">
        <f>SUM(E509:E520)</f>
        <v>0</v>
      </c>
      <c r="F507" s="133"/>
      <c r="G507" s="134"/>
      <c r="H507" s="133">
        <f>SUM(H509:H520)</f>
        <v>9.9703999999999997</v>
      </c>
      <c r="I507" s="135">
        <f t="shared" si="16"/>
        <v>9.9703999999999997</v>
      </c>
      <c r="J507" s="136">
        <f t="shared" si="17"/>
        <v>100</v>
      </c>
      <c r="K507" s="137"/>
      <c r="N507" s="1"/>
      <c r="O507" s="1"/>
      <c r="P507" s="1"/>
      <c r="Q507" s="1"/>
      <c r="R507" s="1"/>
      <c r="S507" s="1"/>
    </row>
    <row r="508" spans="1:19" s="62" customFormat="1">
      <c r="A508" s="1"/>
      <c r="B508" s="167" t="s">
        <v>19</v>
      </c>
      <c r="C508" s="168"/>
      <c r="D508" s="140"/>
      <c r="E508" s="168"/>
      <c r="F508" s="168"/>
      <c r="G508" s="169"/>
      <c r="H508" s="139"/>
      <c r="I508" s="141"/>
      <c r="J508" s="142"/>
      <c r="K508" s="170"/>
      <c r="N508" s="1"/>
      <c r="O508" s="1"/>
      <c r="P508" s="1"/>
      <c r="Q508" s="1"/>
      <c r="R508" s="1"/>
      <c r="S508" s="1"/>
    </row>
    <row r="509" spans="1:19" s="62" customFormat="1">
      <c r="A509" s="1"/>
      <c r="B509" s="171" t="s">
        <v>85</v>
      </c>
      <c r="C509" s="168"/>
      <c r="D509" s="140"/>
      <c r="E509" s="168"/>
      <c r="F509" s="168"/>
      <c r="G509" s="169"/>
      <c r="H509" s="139">
        <v>8.3199999999999996E-2</v>
      </c>
      <c r="I509" s="141">
        <f t="shared" si="16"/>
        <v>8.3199999999999996E-2</v>
      </c>
      <c r="J509" s="142">
        <f t="shared" si="17"/>
        <v>100.00000000000001</v>
      </c>
      <c r="K509" s="167" t="s">
        <v>914</v>
      </c>
      <c r="N509" s="1"/>
      <c r="O509" s="1"/>
      <c r="P509" s="1"/>
      <c r="Q509" s="1"/>
      <c r="R509" s="1"/>
      <c r="S509" s="1"/>
    </row>
    <row r="510" spans="1:19" s="62" customFormat="1" ht="37.5">
      <c r="A510" s="1"/>
      <c r="B510" s="171"/>
      <c r="C510" s="168"/>
      <c r="D510" s="140"/>
      <c r="E510" s="168"/>
      <c r="F510" s="168"/>
      <c r="G510" s="169"/>
      <c r="H510" s="139"/>
      <c r="I510" s="141"/>
      <c r="J510" s="142"/>
      <c r="K510" s="167" t="s">
        <v>915</v>
      </c>
      <c r="N510" s="1"/>
      <c r="O510" s="1"/>
      <c r="P510" s="1"/>
      <c r="Q510" s="1"/>
      <c r="R510" s="1"/>
      <c r="S510" s="1"/>
    </row>
    <row r="511" spans="1:19" s="62" customFormat="1" ht="37.5">
      <c r="A511" s="1"/>
      <c r="B511" s="171"/>
      <c r="C511" s="168"/>
      <c r="D511" s="140"/>
      <c r="E511" s="168"/>
      <c r="F511" s="168"/>
      <c r="G511" s="169"/>
      <c r="H511" s="139"/>
      <c r="I511" s="141"/>
      <c r="J511" s="142"/>
      <c r="K511" s="167" t="s">
        <v>916</v>
      </c>
      <c r="N511" s="1"/>
      <c r="O511" s="1"/>
      <c r="P511" s="1"/>
      <c r="Q511" s="1"/>
      <c r="R511" s="1"/>
      <c r="S511" s="1"/>
    </row>
    <row r="512" spans="1:19" s="62" customFormat="1">
      <c r="A512" s="1"/>
      <c r="B512" s="171"/>
      <c r="C512" s="168"/>
      <c r="D512" s="140"/>
      <c r="E512" s="168"/>
      <c r="F512" s="168"/>
      <c r="G512" s="169"/>
      <c r="H512" s="139"/>
      <c r="I512" s="141"/>
      <c r="J512" s="142"/>
      <c r="K512" s="167"/>
      <c r="N512" s="1"/>
      <c r="O512" s="1"/>
      <c r="P512" s="1"/>
      <c r="Q512" s="1"/>
      <c r="R512" s="1"/>
      <c r="S512" s="1"/>
    </row>
    <row r="513" spans="1:19" s="62" customFormat="1">
      <c r="A513" s="1"/>
      <c r="B513" s="171"/>
      <c r="C513" s="168"/>
      <c r="D513" s="140"/>
      <c r="E513" s="168"/>
      <c r="F513" s="168"/>
      <c r="G513" s="169"/>
      <c r="H513" s="139"/>
      <c r="I513" s="141"/>
      <c r="J513" s="142"/>
      <c r="K513" s="167"/>
      <c r="N513" s="1"/>
      <c r="O513" s="1"/>
      <c r="P513" s="1"/>
      <c r="Q513" s="1"/>
      <c r="R513" s="1"/>
      <c r="S513" s="1"/>
    </row>
    <row r="514" spans="1:19" s="62" customFormat="1" ht="56.25">
      <c r="A514" s="1"/>
      <c r="B514" s="171" t="s">
        <v>86</v>
      </c>
      <c r="C514" s="168"/>
      <c r="D514" s="140"/>
      <c r="E514" s="168"/>
      <c r="F514" s="168"/>
      <c r="G514" s="169"/>
      <c r="H514" s="139">
        <v>0.872</v>
      </c>
      <c r="I514" s="141">
        <f t="shared" si="16"/>
        <v>0.872</v>
      </c>
      <c r="J514" s="142">
        <f t="shared" si="17"/>
        <v>100</v>
      </c>
      <c r="K514" s="167" t="s">
        <v>917</v>
      </c>
      <c r="N514" s="1"/>
      <c r="O514" s="1"/>
      <c r="P514" s="1"/>
      <c r="Q514" s="1"/>
      <c r="R514" s="1"/>
      <c r="S514" s="1"/>
    </row>
    <row r="515" spans="1:19" s="62" customFormat="1" ht="56.25">
      <c r="A515" s="1"/>
      <c r="B515" s="171"/>
      <c r="C515" s="168"/>
      <c r="D515" s="140"/>
      <c r="E515" s="168"/>
      <c r="F515" s="168"/>
      <c r="G515" s="169"/>
      <c r="H515" s="139"/>
      <c r="I515" s="141"/>
      <c r="J515" s="142"/>
      <c r="K515" s="167" t="s">
        <v>918</v>
      </c>
      <c r="N515" s="1"/>
      <c r="O515" s="1"/>
      <c r="P515" s="1"/>
      <c r="Q515" s="1"/>
      <c r="R515" s="1"/>
      <c r="S515" s="1"/>
    </row>
    <row r="516" spans="1:19" s="62" customFormat="1" ht="75">
      <c r="A516" s="1"/>
      <c r="B516" s="171" t="s">
        <v>157</v>
      </c>
      <c r="C516" s="168"/>
      <c r="D516" s="140"/>
      <c r="E516" s="168"/>
      <c r="F516" s="168"/>
      <c r="G516" s="169"/>
      <c r="H516" s="139">
        <v>6.8352000000000004</v>
      </c>
      <c r="I516" s="141">
        <f t="shared" si="16"/>
        <v>6.8352000000000004</v>
      </c>
      <c r="J516" s="142">
        <f t="shared" si="17"/>
        <v>99.999999999999986</v>
      </c>
      <c r="K516" s="167" t="s">
        <v>919</v>
      </c>
      <c r="N516" s="1"/>
      <c r="O516" s="1"/>
      <c r="P516" s="1"/>
      <c r="Q516" s="1"/>
      <c r="R516" s="1"/>
      <c r="S516" s="1"/>
    </row>
    <row r="517" spans="1:19" s="62" customFormat="1" ht="37.5">
      <c r="A517" s="1"/>
      <c r="B517" s="171"/>
      <c r="C517" s="168"/>
      <c r="D517" s="140"/>
      <c r="E517" s="168"/>
      <c r="F517" s="168"/>
      <c r="G517" s="169"/>
      <c r="H517" s="139"/>
      <c r="I517" s="141"/>
      <c r="J517" s="142"/>
      <c r="K517" s="167" t="s">
        <v>920</v>
      </c>
      <c r="N517" s="1"/>
      <c r="O517" s="1"/>
      <c r="P517" s="1"/>
      <c r="Q517" s="1"/>
      <c r="R517" s="1"/>
      <c r="S517" s="1"/>
    </row>
    <row r="518" spans="1:19" s="62" customFormat="1">
      <c r="A518" s="1"/>
      <c r="B518" s="171" t="s">
        <v>88</v>
      </c>
      <c r="C518" s="168"/>
      <c r="D518" s="140"/>
      <c r="E518" s="168"/>
      <c r="F518" s="168"/>
      <c r="G518" s="169"/>
      <c r="H518" s="139"/>
      <c r="I518" s="141"/>
      <c r="J518" s="142"/>
      <c r="K518" s="170"/>
      <c r="N518" s="1"/>
      <c r="O518" s="1"/>
      <c r="P518" s="1"/>
      <c r="Q518" s="1"/>
      <c r="R518" s="1"/>
      <c r="S518" s="1"/>
    </row>
    <row r="519" spans="1:19" s="62" customFormat="1" ht="75">
      <c r="A519" s="1"/>
      <c r="B519" s="171" t="s">
        <v>921</v>
      </c>
      <c r="C519" s="168"/>
      <c r="D519" s="140"/>
      <c r="E519" s="168"/>
      <c r="F519" s="168"/>
      <c r="G519" s="169"/>
      <c r="H519" s="139">
        <v>2</v>
      </c>
      <c r="I519" s="141">
        <f t="shared" si="16"/>
        <v>2</v>
      </c>
      <c r="J519" s="142">
        <f t="shared" si="17"/>
        <v>100</v>
      </c>
      <c r="K519" s="167" t="s">
        <v>922</v>
      </c>
      <c r="N519" s="1"/>
      <c r="O519" s="1"/>
      <c r="P519" s="1"/>
      <c r="Q519" s="1"/>
      <c r="R519" s="1"/>
      <c r="S519" s="1"/>
    </row>
    <row r="520" spans="1:19" s="62" customFormat="1" ht="40.5">
      <c r="A520" s="1"/>
      <c r="B520" s="167" t="s">
        <v>69</v>
      </c>
      <c r="C520" s="168"/>
      <c r="D520" s="140"/>
      <c r="E520" s="168"/>
      <c r="F520" s="168"/>
      <c r="G520" s="169"/>
      <c r="H520" s="139">
        <f>+H523</f>
        <v>0.18</v>
      </c>
      <c r="I520" s="141">
        <f t="shared" si="16"/>
        <v>0.18</v>
      </c>
      <c r="J520" s="142">
        <f t="shared" si="17"/>
        <v>100</v>
      </c>
      <c r="K520" s="170"/>
      <c r="N520" s="1"/>
      <c r="O520" s="1"/>
      <c r="P520" s="1"/>
      <c r="Q520" s="1"/>
      <c r="R520" s="1"/>
      <c r="S520" s="1"/>
    </row>
    <row r="521" spans="1:19" s="62" customFormat="1">
      <c r="A521" s="1"/>
      <c r="B521" s="171" t="s">
        <v>2</v>
      </c>
      <c r="C521" s="172"/>
      <c r="D521" s="173"/>
      <c r="E521" s="172"/>
      <c r="F521" s="168"/>
      <c r="G521" s="169"/>
      <c r="H521" s="172"/>
      <c r="I521" s="141"/>
      <c r="J521" s="142"/>
      <c r="K521" s="170"/>
      <c r="N521" s="1"/>
      <c r="O521" s="1"/>
      <c r="P521" s="1"/>
      <c r="Q521" s="1"/>
      <c r="R521" s="1"/>
      <c r="S521" s="1"/>
    </row>
    <row r="522" spans="1:19" s="62" customFormat="1">
      <c r="A522" s="1"/>
      <c r="B522" s="171" t="s">
        <v>3</v>
      </c>
      <c r="C522" s="172"/>
      <c r="D522" s="173"/>
      <c r="E522" s="172"/>
      <c r="F522" s="168"/>
      <c r="G522" s="169"/>
      <c r="H522" s="172"/>
      <c r="I522" s="141"/>
      <c r="J522" s="142"/>
      <c r="K522" s="170"/>
      <c r="N522" s="1"/>
      <c r="O522" s="1"/>
      <c r="P522" s="1"/>
      <c r="Q522" s="1"/>
      <c r="R522" s="1"/>
      <c r="S522" s="1"/>
    </row>
    <row r="523" spans="1:19" s="62" customFormat="1" ht="75">
      <c r="A523" s="1"/>
      <c r="B523" s="171" t="s">
        <v>923</v>
      </c>
      <c r="C523" s="168"/>
      <c r="D523" s="140"/>
      <c r="E523" s="168"/>
      <c r="F523" s="168"/>
      <c r="G523" s="169"/>
      <c r="H523" s="168">
        <v>0.18</v>
      </c>
      <c r="I523" s="141">
        <f t="shared" si="16"/>
        <v>0.18</v>
      </c>
      <c r="J523" s="142">
        <f t="shared" si="17"/>
        <v>100</v>
      </c>
      <c r="K523" s="167" t="s">
        <v>924</v>
      </c>
      <c r="N523" s="1"/>
      <c r="O523" s="1"/>
      <c r="P523" s="1"/>
      <c r="Q523" s="1"/>
      <c r="R523" s="1"/>
      <c r="S523" s="1"/>
    </row>
    <row r="524" spans="1:19" s="62" customFormat="1">
      <c r="A524" s="1"/>
      <c r="B524" s="167" t="s">
        <v>22</v>
      </c>
      <c r="C524" s="168"/>
      <c r="D524" s="140"/>
      <c r="E524" s="168"/>
      <c r="F524" s="168"/>
      <c r="G524" s="169"/>
      <c r="H524" s="168"/>
      <c r="I524" s="141"/>
      <c r="J524" s="142"/>
      <c r="K524" s="170"/>
      <c r="N524" s="1"/>
      <c r="O524" s="1"/>
      <c r="P524" s="1"/>
      <c r="Q524" s="1"/>
      <c r="R524" s="1"/>
      <c r="S524" s="1"/>
    </row>
    <row r="525" spans="1:19" s="62" customFormat="1">
      <c r="A525" s="1"/>
      <c r="B525" s="171" t="s">
        <v>21</v>
      </c>
      <c r="C525" s="168"/>
      <c r="D525" s="140"/>
      <c r="E525" s="168"/>
      <c r="F525" s="168"/>
      <c r="G525" s="169"/>
      <c r="H525" s="168"/>
      <c r="I525" s="141"/>
      <c r="J525" s="142"/>
      <c r="K525" s="170"/>
      <c r="N525" s="1"/>
      <c r="O525" s="1"/>
      <c r="P525" s="1"/>
      <c r="Q525" s="1"/>
      <c r="R525" s="1"/>
      <c r="S525" s="1"/>
    </row>
    <row r="526" spans="1:19" s="62" customFormat="1">
      <c r="A526" s="1"/>
      <c r="B526" s="167" t="s">
        <v>20</v>
      </c>
      <c r="C526" s="168"/>
      <c r="D526" s="140"/>
      <c r="E526" s="168"/>
      <c r="F526" s="168"/>
      <c r="G526" s="169"/>
      <c r="H526" s="168"/>
      <c r="I526" s="141"/>
      <c r="J526" s="142"/>
      <c r="K526" s="170"/>
      <c r="N526" s="1"/>
      <c r="O526" s="1"/>
      <c r="P526" s="1"/>
      <c r="Q526" s="1"/>
      <c r="R526" s="1"/>
      <c r="S526" s="1"/>
    </row>
    <row r="527" spans="1:19" s="62" customFormat="1">
      <c r="A527" s="1"/>
      <c r="B527" s="171" t="s">
        <v>17</v>
      </c>
      <c r="C527" s="168"/>
      <c r="D527" s="140"/>
      <c r="E527" s="168"/>
      <c r="F527" s="168"/>
      <c r="G527" s="169"/>
      <c r="H527" s="168"/>
      <c r="I527" s="141"/>
      <c r="J527" s="142"/>
      <c r="K527" s="170"/>
      <c r="N527" s="1"/>
      <c r="O527" s="1"/>
      <c r="P527" s="1"/>
      <c r="Q527" s="1"/>
      <c r="R527" s="1"/>
      <c r="S527" s="1"/>
    </row>
    <row r="528" spans="1:19" s="62" customFormat="1">
      <c r="A528" s="1"/>
      <c r="B528" s="216" t="s">
        <v>44</v>
      </c>
      <c r="C528" s="133"/>
      <c r="D528" s="134"/>
      <c r="E528" s="133">
        <f>SUM(E529:E530)</f>
        <v>0</v>
      </c>
      <c r="F528" s="133"/>
      <c r="G528" s="134"/>
      <c r="H528" s="133">
        <f>SUM(H529:H530)</f>
        <v>2.9600000000000001E-2</v>
      </c>
      <c r="I528" s="182">
        <f t="shared" si="16"/>
        <v>2.9600000000000001E-2</v>
      </c>
      <c r="J528" s="183">
        <f t="shared" si="17"/>
        <v>100</v>
      </c>
      <c r="K528" s="137"/>
      <c r="N528" s="1"/>
      <c r="O528" s="1"/>
      <c r="P528" s="1"/>
      <c r="Q528" s="1"/>
      <c r="R528" s="1"/>
      <c r="S528" s="1"/>
    </row>
    <row r="529" spans="1:19" s="62" customFormat="1">
      <c r="A529" s="1"/>
      <c r="B529" s="171" t="s">
        <v>90</v>
      </c>
      <c r="C529" s="168"/>
      <c r="D529" s="140"/>
      <c r="E529" s="168"/>
      <c r="F529" s="168"/>
      <c r="G529" s="169"/>
      <c r="H529" s="139"/>
      <c r="I529" s="141"/>
      <c r="J529" s="142"/>
      <c r="K529" s="167"/>
      <c r="N529" s="1"/>
      <c r="O529" s="1"/>
      <c r="P529" s="1"/>
      <c r="Q529" s="1"/>
      <c r="R529" s="1"/>
      <c r="S529" s="1"/>
    </row>
    <row r="530" spans="1:19" s="62" customFormat="1" ht="37.5">
      <c r="A530" s="1"/>
      <c r="B530" s="171" t="s">
        <v>91</v>
      </c>
      <c r="C530" s="168"/>
      <c r="D530" s="140"/>
      <c r="E530" s="168"/>
      <c r="F530" s="168"/>
      <c r="G530" s="169"/>
      <c r="H530" s="139">
        <v>2.9600000000000001E-2</v>
      </c>
      <c r="I530" s="141">
        <f t="shared" si="16"/>
        <v>2.9600000000000001E-2</v>
      </c>
      <c r="J530" s="142">
        <f t="shared" si="17"/>
        <v>100</v>
      </c>
      <c r="K530" s="167" t="s">
        <v>777</v>
      </c>
      <c r="N530" s="1"/>
      <c r="O530" s="1"/>
      <c r="P530" s="1"/>
      <c r="Q530" s="1"/>
      <c r="R530" s="1"/>
      <c r="S530" s="1"/>
    </row>
    <row r="531" spans="1:19" s="62" customFormat="1">
      <c r="A531" s="1"/>
      <c r="B531" s="179" t="s">
        <v>45</v>
      </c>
      <c r="C531" s="180"/>
      <c r="D531" s="181"/>
      <c r="E531" s="180">
        <f>SUM(E532:E536)</f>
        <v>0</v>
      </c>
      <c r="F531" s="180"/>
      <c r="G531" s="181"/>
      <c r="H531" s="180">
        <f>SUM(H532:H536)</f>
        <v>0</v>
      </c>
      <c r="I531" s="182"/>
      <c r="J531" s="183"/>
      <c r="K531" s="184"/>
      <c r="N531" s="1"/>
      <c r="O531" s="1"/>
      <c r="P531" s="1"/>
      <c r="Q531" s="1"/>
      <c r="R531" s="1"/>
      <c r="S531" s="1"/>
    </row>
    <row r="532" spans="1:19" s="62" customFormat="1">
      <c r="A532" s="1"/>
      <c r="B532" s="171" t="s">
        <v>106</v>
      </c>
      <c r="C532" s="168"/>
      <c r="D532" s="140"/>
      <c r="E532" s="168"/>
      <c r="F532" s="168"/>
      <c r="G532" s="169"/>
      <c r="H532" s="168"/>
      <c r="I532" s="168"/>
      <c r="J532" s="168"/>
      <c r="K532" s="170"/>
      <c r="N532" s="1"/>
      <c r="O532" s="1"/>
      <c r="P532" s="1"/>
      <c r="Q532" s="1"/>
      <c r="R532" s="1"/>
      <c r="S532" s="1"/>
    </row>
    <row r="533" spans="1:19" s="62" customFormat="1">
      <c r="A533" s="1"/>
      <c r="B533" s="171" t="s">
        <v>107</v>
      </c>
      <c r="C533" s="168"/>
      <c r="D533" s="140"/>
      <c r="E533" s="168"/>
      <c r="F533" s="168"/>
      <c r="G533" s="169"/>
      <c r="H533" s="168"/>
      <c r="I533" s="168"/>
      <c r="J533" s="168"/>
      <c r="K533" s="170"/>
      <c r="N533" s="1"/>
      <c r="O533" s="1"/>
      <c r="P533" s="1"/>
      <c r="Q533" s="1"/>
      <c r="R533" s="1"/>
      <c r="S533" s="1"/>
    </row>
    <row r="534" spans="1:19" s="62" customFormat="1">
      <c r="A534" s="1"/>
      <c r="B534" s="171" t="s">
        <v>108</v>
      </c>
      <c r="C534" s="168"/>
      <c r="D534" s="140"/>
      <c r="E534" s="168"/>
      <c r="F534" s="168"/>
      <c r="G534" s="169"/>
      <c r="H534" s="168"/>
      <c r="I534" s="168"/>
      <c r="J534" s="168"/>
      <c r="K534" s="170"/>
      <c r="N534" s="1"/>
      <c r="O534" s="1"/>
      <c r="P534" s="1"/>
      <c r="Q534" s="1"/>
      <c r="R534" s="1"/>
      <c r="S534" s="1"/>
    </row>
    <row r="535" spans="1:19" s="62" customFormat="1">
      <c r="A535" s="1"/>
      <c r="B535" s="171" t="s">
        <v>109</v>
      </c>
      <c r="C535" s="168"/>
      <c r="D535" s="140"/>
      <c r="E535" s="168"/>
      <c r="F535" s="168"/>
      <c r="G535" s="169"/>
      <c r="H535" s="168"/>
      <c r="I535" s="168"/>
      <c r="J535" s="168"/>
      <c r="K535" s="170"/>
      <c r="N535" s="1"/>
      <c r="O535" s="1"/>
      <c r="P535" s="1"/>
      <c r="Q535" s="1"/>
      <c r="R535" s="1"/>
      <c r="S535" s="1"/>
    </row>
    <row r="536" spans="1:19" s="62" customFormat="1">
      <c r="A536" s="1"/>
      <c r="B536" s="171" t="s">
        <v>111</v>
      </c>
      <c r="C536" s="168"/>
      <c r="D536" s="140"/>
      <c r="E536" s="168"/>
      <c r="F536" s="168"/>
      <c r="G536" s="169"/>
      <c r="H536" s="168"/>
      <c r="I536" s="168"/>
      <c r="J536" s="168"/>
      <c r="K536" s="170"/>
      <c r="N536" s="1"/>
      <c r="O536" s="1"/>
      <c r="P536" s="1"/>
      <c r="Q536" s="1"/>
      <c r="R536" s="1"/>
      <c r="S536" s="1"/>
    </row>
    <row r="537" spans="1:19" s="62" customFormat="1">
      <c r="A537" s="1"/>
      <c r="B537" s="221" t="s">
        <v>46</v>
      </c>
      <c r="C537" s="222"/>
      <c r="D537" s="223"/>
      <c r="E537" s="222">
        <f>+E538+E549</f>
        <v>0</v>
      </c>
      <c r="F537" s="222"/>
      <c r="G537" s="223"/>
      <c r="H537" s="222">
        <f>+H538+H549</f>
        <v>0</v>
      </c>
      <c r="I537" s="226"/>
      <c r="J537" s="226"/>
      <c r="K537" s="226"/>
      <c r="N537" s="1"/>
      <c r="O537" s="1"/>
      <c r="P537" s="1"/>
      <c r="Q537" s="1"/>
      <c r="R537" s="1"/>
      <c r="S537" s="1"/>
    </row>
    <row r="538" spans="1:19" s="62" customFormat="1">
      <c r="A538" s="1"/>
      <c r="B538" s="179" t="s">
        <v>47</v>
      </c>
      <c r="C538" s="180"/>
      <c r="D538" s="181"/>
      <c r="E538" s="180">
        <f>+E540</f>
        <v>0</v>
      </c>
      <c r="F538" s="180"/>
      <c r="G538" s="181"/>
      <c r="H538" s="180">
        <f>+H540</f>
        <v>0</v>
      </c>
      <c r="I538" s="184"/>
      <c r="J538" s="184"/>
      <c r="K538" s="184"/>
      <c r="N538" s="1"/>
      <c r="O538" s="1"/>
      <c r="P538" s="1"/>
      <c r="Q538" s="1"/>
      <c r="R538" s="1"/>
      <c r="S538" s="1"/>
    </row>
    <row r="539" spans="1:19" s="62" customFormat="1">
      <c r="A539" s="1"/>
      <c r="B539" s="167" t="s">
        <v>19</v>
      </c>
      <c r="C539" s="168"/>
      <c r="D539" s="140"/>
      <c r="E539" s="168"/>
      <c r="F539" s="168"/>
      <c r="G539" s="169"/>
      <c r="H539" s="168"/>
      <c r="I539" s="170"/>
      <c r="J539" s="170"/>
      <c r="K539" s="170"/>
      <c r="N539" s="1"/>
      <c r="O539" s="1"/>
      <c r="P539" s="1"/>
      <c r="Q539" s="1"/>
      <c r="R539" s="1"/>
      <c r="S539" s="1"/>
    </row>
    <row r="540" spans="1:19" s="62" customFormat="1">
      <c r="A540" s="1"/>
      <c r="B540" s="216" t="s">
        <v>110</v>
      </c>
      <c r="C540" s="133"/>
      <c r="D540" s="134"/>
      <c r="E540" s="133"/>
      <c r="F540" s="133"/>
      <c r="G540" s="134"/>
      <c r="H540" s="133"/>
      <c r="I540" s="137"/>
      <c r="J540" s="137"/>
      <c r="K540" s="137"/>
      <c r="N540" s="1"/>
      <c r="O540" s="1"/>
      <c r="P540" s="1"/>
      <c r="Q540" s="1"/>
      <c r="R540" s="1"/>
      <c r="S540" s="1"/>
    </row>
    <row r="541" spans="1:19" s="62" customFormat="1">
      <c r="A541" s="1"/>
      <c r="B541" s="171" t="s">
        <v>17</v>
      </c>
      <c r="C541" s="168"/>
      <c r="D541" s="140"/>
      <c r="E541" s="168"/>
      <c r="F541" s="168"/>
      <c r="G541" s="169"/>
      <c r="H541" s="168"/>
      <c r="I541" s="170"/>
      <c r="J541" s="170"/>
      <c r="K541" s="170"/>
      <c r="N541" s="1"/>
      <c r="O541" s="1"/>
      <c r="P541" s="1"/>
      <c r="Q541" s="1"/>
      <c r="R541" s="1"/>
      <c r="S541" s="1"/>
    </row>
    <row r="542" spans="1:19" s="62" customFormat="1">
      <c r="A542" s="1"/>
      <c r="B542" s="171" t="s">
        <v>18</v>
      </c>
      <c r="C542" s="168"/>
      <c r="D542" s="140"/>
      <c r="E542" s="168"/>
      <c r="F542" s="168"/>
      <c r="G542" s="169"/>
      <c r="H542" s="168"/>
      <c r="I542" s="168"/>
      <c r="J542" s="168"/>
      <c r="K542" s="170"/>
      <c r="N542" s="1"/>
      <c r="O542" s="1"/>
      <c r="P542" s="1"/>
      <c r="Q542" s="1"/>
      <c r="R542" s="1"/>
      <c r="S542" s="1"/>
    </row>
    <row r="543" spans="1:19" s="62" customFormat="1">
      <c r="A543" s="1"/>
      <c r="B543" s="167" t="s">
        <v>22</v>
      </c>
      <c r="C543" s="168"/>
      <c r="D543" s="140"/>
      <c r="E543" s="168"/>
      <c r="F543" s="168"/>
      <c r="G543" s="169"/>
      <c r="H543" s="168"/>
      <c r="I543" s="168"/>
      <c r="J543" s="168"/>
      <c r="K543" s="170"/>
      <c r="N543" s="1"/>
      <c r="O543" s="1"/>
      <c r="P543" s="1"/>
      <c r="Q543" s="1"/>
      <c r="R543" s="1"/>
      <c r="S543" s="1"/>
    </row>
    <row r="544" spans="1:19" s="62" customFormat="1">
      <c r="A544" s="1"/>
      <c r="B544" s="167" t="s">
        <v>48</v>
      </c>
      <c r="C544" s="168"/>
      <c r="D544" s="140"/>
      <c r="E544" s="168"/>
      <c r="F544" s="168"/>
      <c r="G544" s="169"/>
      <c r="H544" s="168"/>
      <c r="I544" s="168"/>
      <c r="J544" s="168"/>
      <c r="K544" s="170"/>
      <c r="N544" s="1"/>
      <c r="O544" s="1"/>
      <c r="P544" s="1"/>
      <c r="Q544" s="1"/>
      <c r="R544" s="1"/>
      <c r="S544" s="1"/>
    </row>
    <row r="545" spans="1:19" s="62" customFormat="1">
      <c r="A545" s="1"/>
      <c r="B545" s="171" t="s">
        <v>23</v>
      </c>
      <c r="C545" s="168"/>
      <c r="D545" s="140"/>
      <c r="E545" s="168"/>
      <c r="F545" s="168"/>
      <c r="G545" s="169"/>
      <c r="H545" s="168"/>
      <c r="I545" s="168"/>
      <c r="J545" s="168"/>
      <c r="K545" s="170"/>
      <c r="N545" s="1"/>
      <c r="O545" s="1"/>
      <c r="P545" s="1"/>
      <c r="Q545" s="1"/>
      <c r="R545" s="1"/>
      <c r="S545" s="1"/>
    </row>
    <row r="546" spans="1:19" s="62" customFormat="1">
      <c r="A546" s="1"/>
      <c r="B546" s="167" t="s">
        <v>20</v>
      </c>
      <c r="C546" s="168"/>
      <c r="D546" s="140"/>
      <c r="E546" s="168"/>
      <c r="F546" s="168"/>
      <c r="G546" s="169"/>
      <c r="H546" s="168"/>
      <c r="I546" s="168"/>
      <c r="J546" s="168"/>
      <c r="K546" s="170"/>
      <c r="N546" s="1"/>
      <c r="O546" s="1"/>
      <c r="P546" s="1"/>
      <c r="Q546" s="1"/>
      <c r="R546" s="1"/>
      <c r="S546" s="1"/>
    </row>
    <row r="547" spans="1:19" s="62" customFormat="1">
      <c r="A547" s="1"/>
      <c r="B547" s="167" t="s">
        <v>48</v>
      </c>
      <c r="C547" s="168"/>
      <c r="D547" s="140"/>
      <c r="E547" s="168"/>
      <c r="F547" s="168"/>
      <c r="G547" s="169"/>
      <c r="H547" s="168"/>
      <c r="I547" s="168"/>
      <c r="J547" s="168"/>
      <c r="K547" s="170"/>
      <c r="N547" s="1"/>
      <c r="O547" s="1"/>
      <c r="P547" s="1"/>
      <c r="Q547" s="1"/>
      <c r="R547" s="1"/>
      <c r="S547" s="1"/>
    </row>
    <row r="548" spans="1:19" s="62" customFormat="1">
      <c r="A548" s="1"/>
      <c r="B548" s="171" t="s">
        <v>23</v>
      </c>
      <c r="C548" s="168"/>
      <c r="D548" s="140"/>
      <c r="E548" s="168"/>
      <c r="F548" s="168"/>
      <c r="G548" s="169"/>
      <c r="H548" s="168"/>
      <c r="I548" s="168"/>
      <c r="J548" s="168"/>
      <c r="K548" s="170"/>
      <c r="N548" s="1"/>
      <c r="O548" s="1"/>
      <c r="P548" s="1"/>
      <c r="Q548" s="1"/>
      <c r="R548" s="1"/>
      <c r="S548" s="1"/>
    </row>
    <row r="549" spans="1:19" s="62" customFormat="1">
      <c r="A549" s="1"/>
      <c r="B549" s="179" t="s">
        <v>49</v>
      </c>
      <c r="C549" s="180"/>
      <c r="D549" s="181"/>
      <c r="E549" s="180">
        <f>+E551</f>
        <v>0</v>
      </c>
      <c r="F549" s="180"/>
      <c r="G549" s="181"/>
      <c r="H549" s="180">
        <f>+H551</f>
        <v>0</v>
      </c>
      <c r="I549" s="184"/>
      <c r="J549" s="184"/>
      <c r="K549" s="184"/>
      <c r="N549" s="1"/>
      <c r="O549" s="1"/>
      <c r="P549" s="1"/>
      <c r="Q549" s="1"/>
      <c r="R549" s="1"/>
      <c r="S549" s="1"/>
    </row>
    <row r="550" spans="1:19" s="62" customFormat="1">
      <c r="A550" s="1"/>
      <c r="B550" s="167" t="s">
        <v>19</v>
      </c>
      <c r="C550" s="168"/>
      <c r="D550" s="140"/>
      <c r="E550" s="168"/>
      <c r="F550" s="168"/>
      <c r="G550" s="169"/>
      <c r="H550" s="168"/>
      <c r="I550" s="168"/>
      <c r="J550" s="168"/>
      <c r="K550" s="170"/>
      <c r="N550" s="1"/>
      <c r="O550" s="1"/>
      <c r="P550" s="1"/>
      <c r="Q550" s="1"/>
      <c r="R550" s="1"/>
      <c r="S550" s="1"/>
    </row>
    <row r="551" spans="1:19" s="62" customFormat="1">
      <c r="A551" s="1"/>
      <c r="B551" s="216" t="s">
        <v>50</v>
      </c>
      <c r="C551" s="133"/>
      <c r="D551" s="134"/>
      <c r="E551" s="133"/>
      <c r="F551" s="133"/>
      <c r="G551" s="134"/>
      <c r="H551" s="133"/>
      <c r="I551" s="133"/>
      <c r="J551" s="133"/>
      <c r="K551" s="137"/>
      <c r="N551" s="1"/>
      <c r="O551" s="1"/>
      <c r="P551" s="1"/>
      <c r="Q551" s="1"/>
      <c r="R551" s="1"/>
      <c r="S551" s="1"/>
    </row>
    <row r="552" spans="1:19" s="62" customFormat="1" ht="27.75" customHeight="1">
      <c r="A552" s="16"/>
      <c r="B552" s="171" t="s">
        <v>17</v>
      </c>
      <c r="C552" s="168"/>
      <c r="D552" s="140"/>
      <c r="E552" s="168"/>
      <c r="F552" s="168"/>
      <c r="G552" s="169"/>
      <c r="H552" s="168"/>
      <c r="I552" s="168"/>
      <c r="J552" s="168"/>
      <c r="K552" s="170"/>
      <c r="N552" s="1"/>
      <c r="O552" s="1"/>
      <c r="P552" s="1"/>
      <c r="Q552" s="1"/>
      <c r="R552" s="1"/>
      <c r="S552" s="1"/>
    </row>
    <row r="553" spans="1:19" s="62" customFormat="1" ht="27.75" customHeight="1">
      <c r="A553" s="1"/>
      <c r="B553" s="171" t="s">
        <v>18</v>
      </c>
      <c r="C553" s="168"/>
      <c r="D553" s="140"/>
      <c r="E553" s="168"/>
      <c r="F553" s="168"/>
      <c r="G553" s="169"/>
      <c r="H553" s="168"/>
      <c r="I553" s="168"/>
      <c r="J553" s="168"/>
      <c r="K553" s="170"/>
      <c r="N553" s="1"/>
      <c r="O553" s="1"/>
      <c r="P553" s="1"/>
      <c r="Q553" s="1"/>
      <c r="R553" s="1"/>
      <c r="S553" s="1"/>
    </row>
    <row r="554" spans="1:19" s="62" customFormat="1">
      <c r="A554" s="1"/>
      <c r="B554" s="167" t="s">
        <v>22</v>
      </c>
      <c r="C554" s="168"/>
      <c r="D554" s="140"/>
      <c r="E554" s="168"/>
      <c r="F554" s="168"/>
      <c r="G554" s="169"/>
      <c r="H554" s="168"/>
      <c r="I554" s="168"/>
      <c r="J554" s="168"/>
      <c r="K554" s="170"/>
      <c r="N554" s="1"/>
      <c r="O554" s="1"/>
      <c r="P554" s="1"/>
      <c r="Q554" s="1"/>
      <c r="R554" s="1"/>
      <c r="S554" s="1"/>
    </row>
    <row r="555" spans="1:19" s="62" customFormat="1">
      <c r="A555" s="1"/>
      <c r="B555" s="167" t="s">
        <v>51</v>
      </c>
      <c r="C555" s="168"/>
      <c r="D555" s="140"/>
      <c r="E555" s="168"/>
      <c r="F555" s="168"/>
      <c r="G555" s="169"/>
      <c r="H555" s="168"/>
      <c r="I555" s="168"/>
      <c r="J555" s="168"/>
      <c r="K555" s="170"/>
      <c r="N555" s="1"/>
      <c r="O555" s="1"/>
      <c r="P555" s="1"/>
      <c r="Q555" s="1"/>
      <c r="R555" s="1"/>
      <c r="S555" s="1"/>
    </row>
    <row r="556" spans="1:19" s="62" customFormat="1">
      <c r="A556" s="1"/>
      <c r="B556" s="171" t="s">
        <v>23</v>
      </c>
      <c r="C556" s="168"/>
      <c r="D556" s="140"/>
      <c r="E556" s="168"/>
      <c r="F556" s="168"/>
      <c r="G556" s="169"/>
      <c r="H556" s="168"/>
      <c r="I556" s="168"/>
      <c r="J556" s="168"/>
      <c r="K556" s="170"/>
      <c r="N556" s="1"/>
      <c r="O556" s="1"/>
      <c r="P556" s="1"/>
      <c r="Q556" s="1"/>
      <c r="R556" s="1"/>
      <c r="S556" s="1"/>
    </row>
    <row r="557" spans="1:19" s="62" customFormat="1">
      <c r="A557" s="1"/>
      <c r="B557" s="167" t="s">
        <v>20</v>
      </c>
      <c r="C557" s="168"/>
      <c r="D557" s="140"/>
      <c r="E557" s="168"/>
      <c r="F557" s="168"/>
      <c r="G557" s="169"/>
      <c r="H557" s="168"/>
      <c r="I557" s="168"/>
      <c r="J557" s="168"/>
      <c r="K557" s="170"/>
      <c r="N557" s="1"/>
      <c r="O557" s="1"/>
      <c r="P557" s="1"/>
      <c r="Q557" s="1"/>
      <c r="R557" s="1"/>
      <c r="S557" s="1"/>
    </row>
    <row r="558" spans="1:19" s="62" customFormat="1">
      <c r="A558" s="1"/>
      <c r="B558" s="167" t="s">
        <v>51</v>
      </c>
      <c r="C558" s="168"/>
      <c r="D558" s="140"/>
      <c r="E558" s="168"/>
      <c r="F558" s="168"/>
      <c r="G558" s="169"/>
      <c r="H558" s="168"/>
      <c r="I558" s="168"/>
      <c r="J558" s="168"/>
      <c r="K558" s="170"/>
      <c r="N558" s="1"/>
      <c r="O558" s="1"/>
      <c r="P558" s="1"/>
      <c r="Q558" s="1"/>
      <c r="R558" s="1"/>
      <c r="S558" s="1"/>
    </row>
    <row r="559" spans="1:19" s="62" customFormat="1">
      <c r="A559" s="1"/>
      <c r="B559" s="171" t="s">
        <v>23</v>
      </c>
      <c r="C559" s="168"/>
      <c r="D559" s="140"/>
      <c r="E559" s="168"/>
      <c r="F559" s="168"/>
      <c r="G559" s="169"/>
      <c r="H559" s="168"/>
      <c r="I559" s="168"/>
      <c r="J559" s="168"/>
      <c r="K559" s="170"/>
      <c r="N559" s="1"/>
      <c r="O559" s="1"/>
      <c r="P559" s="1"/>
      <c r="Q559" s="1"/>
      <c r="R559" s="1"/>
      <c r="S559" s="1"/>
    </row>
    <row r="560" spans="1:19" s="62" customFormat="1">
      <c r="A560" s="1"/>
      <c r="B560" s="216" t="s">
        <v>53</v>
      </c>
      <c r="C560" s="133"/>
      <c r="D560" s="134"/>
      <c r="E560" s="133">
        <f>+E562</f>
        <v>0</v>
      </c>
      <c r="F560" s="133"/>
      <c r="G560" s="134"/>
      <c r="H560" s="133">
        <f>+H562</f>
        <v>0</v>
      </c>
      <c r="I560" s="137"/>
      <c r="J560" s="137"/>
      <c r="K560" s="137"/>
      <c r="N560" s="1"/>
      <c r="O560" s="1"/>
      <c r="P560" s="1"/>
      <c r="Q560" s="1"/>
      <c r="R560" s="1"/>
      <c r="S560" s="1"/>
    </row>
    <row r="561" spans="1:19" s="62" customFormat="1">
      <c r="A561" s="1"/>
      <c r="B561" s="167" t="s">
        <v>52</v>
      </c>
      <c r="C561" s="168"/>
      <c r="D561" s="140"/>
      <c r="E561" s="168"/>
      <c r="F561" s="168"/>
      <c r="G561" s="169"/>
      <c r="H561" s="168"/>
      <c r="I561" s="168"/>
      <c r="J561" s="168"/>
      <c r="K561" s="170"/>
      <c r="N561" s="1"/>
      <c r="O561" s="1"/>
      <c r="P561" s="1"/>
      <c r="Q561" s="1"/>
      <c r="R561" s="1"/>
      <c r="S561" s="1"/>
    </row>
    <row r="562" spans="1:19" s="62" customFormat="1">
      <c r="A562" s="1"/>
      <c r="B562" s="167"/>
      <c r="C562" s="168"/>
      <c r="D562" s="140"/>
      <c r="E562" s="168"/>
      <c r="F562" s="168"/>
      <c r="G562" s="169"/>
      <c r="H562" s="168"/>
      <c r="I562" s="168"/>
      <c r="J562" s="168"/>
      <c r="K562" s="167"/>
      <c r="N562" s="1"/>
      <c r="O562" s="1"/>
      <c r="P562" s="1"/>
      <c r="Q562" s="1"/>
      <c r="R562" s="1"/>
      <c r="S562" s="1"/>
    </row>
    <row r="563" spans="1:19" s="62" customFormat="1">
      <c r="A563" s="1"/>
      <c r="B563" s="167"/>
      <c r="C563" s="168"/>
      <c r="D563" s="140"/>
      <c r="E563" s="168"/>
      <c r="F563" s="168"/>
      <c r="G563" s="169"/>
      <c r="H563" s="168"/>
      <c r="I563" s="168"/>
      <c r="J563" s="168"/>
      <c r="K563" s="170"/>
      <c r="N563" s="1"/>
      <c r="O563" s="1"/>
      <c r="P563" s="1"/>
      <c r="Q563" s="1"/>
      <c r="R563" s="1"/>
      <c r="S563" s="1"/>
    </row>
    <row r="564" spans="1:19" s="62" customFormat="1">
      <c r="A564" s="1"/>
      <c r="B564" s="185" t="s">
        <v>56</v>
      </c>
      <c r="C564" s="145"/>
      <c r="D564" s="146"/>
      <c r="E564" s="145">
        <f>SUM(E565:E565)</f>
        <v>0</v>
      </c>
      <c r="F564" s="145"/>
      <c r="G564" s="146"/>
      <c r="H564" s="145">
        <f>SUM(H565:H565)</f>
        <v>0</v>
      </c>
      <c r="I564" s="149"/>
      <c r="J564" s="149"/>
      <c r="K564" s="149"/>
      <c r="N564" s="1"/>
      <c r="O564" s="1"/>
      <c r="P564" s="1"/>
      <c r="Q564" s="1"/>
      <c r="R564" s="1"/>
      <c r="S564" s="1"/>
    </row>
    <row r="565" spans="1:19" s="62" customFormat="1">
      <c r="A565" s="1"/>
      <c r="B565" s="167"/>
      <c r="C565" s="168"/>
      <c r="D565" s="140"/>
      <c r="E565" s="168"/>
      <c r="F565" s="168"/>
      <c r="G565" s="169"/>
      <c r="H565" s="168"/>
      <c r="I565" s="141"/>
      <c r="J565" s="142"/>
      <c r="K565" s="143"/>
      <c r="N565" s="1"/>
      <c r="O565" s="1"/>
      <c r="P565" s="1"/>
      <c r="Q565" s="1"/>
      <c r="R565" s="1"/>
      <c r="S565" s="1"/>
    </row>
    <row r="566" spans="1:19" s="62" customFormat="1">
      <c r="A566" s="1"/>
      <c r="B566" s="186"/>
      <c r="C566" s="187"/>
      <c r="D566" s="188"/>
      <c r="E566" s="187"/>
      <c r="F566" s="187"/>
      <c r="G566" s="189"/>
      <c r="H566" s="187"/>
      <c r="I566" s="190"/>
      <c r="J566" s="191"/>
      <c r="K566" s="271"/>
      <c r="N566" s="1"/>
      <c r="O566" s="1"/>
      <c r="P566" s="1"/>
      <c r="Q566" s="1"/>
      <c r="R566" s="1"/>
      <c r="S566" s="1"/>
    </row>
    <row r="568" spans="1:19" s="62" customFormat="1">
      <c r="A568" s="1"/>
      <c r="B568" s="8" t="s">
        <v>65</v>
      </c>
      <c r="C568" s="11"/>
      <c r="D568" s="18"/>
      <c r="E568" s="11"/>
      <c r="F568" s="11"/>
      <c r="G568" s="18"/>
      <c r="H568" s="11"/>
      <c r="I568" s="96"/>
      <c r="J568" s="101"/>
      <c r="K568" s="1"/>
      <c r="N568" s="1"/>
      <c r="O568" s="1"/>
      <c r="P568" s="1"/>
      <c r="Q568" s="1"/>
      <c r="R568" s="1"/>
      <c r="S568" s="1"/>
    </row>
    <row r="569" spans="1:19" s="62" customFormat="1">
      <c r="A569" s="1"/>
      <c r="B569" s="9" t="s">
        <v>70</v>
      </c>
      <c r="C569" s="11"/>
      <c r="D569" s="18"/>
      <c r="E569" s="11"/>
      <c r="F569" s="11"/>
      <c r="G569" s="18"/>
      <c r="H569" s="11"/>
      <c r="I569" s="96"/>
      <c r="J569" s="101"/>
      <c r="K569" s="1"/>
      <c r="N569" s="1"/>
      <c r="O569" s="1"/>
      <c r="P569" s="1"/>
      <c r="Q569" s="1"/>
      <c r="R569" s="1"/>
      <c r="S569" s="1"/>
    </row>
    <row r="570" spans="1:19" s="101" customFormat="1" ht="20.25">
      <c r="A570" s="1"/>
      <c r="B570" s="10" t="s">
        <v>73</v>
      </c>
      <c r="C570" s="15"/>
      <c r="D570" s="23"/>
      <c r="E570" s="15"/>
      <c r="F570" s="15"/>
      <c r="G570" s="22"/>
      <c r="H570" s="15"/>
      <c r="I570" s="100"/>
      <c r="K570" s="1"/>
      <c r="L570" s="62"/>
      <c r="M570" s="62"/>
      <c r="N570" s="1"/>
      <c r="O570" s="1"/>
      <c r="P570" s="1"/>
      <c r="Q570" s="1"/>
      <c r="R570" s="1"/>
      <c r="S570" s="1"/>
    </row>
    <row r="571" spans="1:19" s="101" customFormat="1" ht="20.25">
      <c r="A571" s="1"/>
      <c r="B571" s="7" t="s">
        <v>71</v>
      </c>
      <c r="C571" s="15"/>
      <c r="D571" s="23"/>
      <c r="E571" s="15"/>
      <c r="F571" s="11"/>
      <c r="G571" s="22"/>
      <c r="H571" s="11"/>
      <c r="I571" s="96"/>
      <c r="K571" s="1"/>
      <c r="L571" s="62"/>
      <c r="M571" s="62"/>
      <c r="N571" s="1"/>
      <c r="O571" s="1"/>
      <c r="P571" s="1"/>
      <c r="Q571" s="1"/>
      <c r="R571" s="1"/>
      <c r="S571" s="1"/>
    </row>
  </sheetData>
  <mergeCells count="5">
    <mergeCell ref="B2:K2"/>
    <mergeCell ref="B6:B7"/>
    <mergeCell ref="C6:E6"/>
    <mergeCell ref="F6:H6"/>
    <mergeCell ref="K6:K7"/>
  </mergeCells>
  <pageMargins left="0.25" right="0.2" top="0.33" bottom="0.32" header="0.18" footer="0.24"/>
  <pageSetup paperSize="9" scale="85" fitToHeight="0" orientation="landscape" useFirstPageNumber="1" r:id="rId1"/>
  <headerFooter differentFirst="1">
    <oddHeader>&amp;C&amp;"TH SarabunPSK,ธรรมดา"&amp;16&amp;P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2:S31"/>
  <sheetViews>
    <sheetView zoomScale="80" zoomScaleNormal="80" zoomScalePageLayoutView="11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9" sqref="A9:XFD41"/>
    </sheetView>
  </sheetViews>
  <sheetFormatPr defaultRowHeight="18.75"/>
  <cols>
    <col min="1" max="1" width="1.625" style="1" customWidth="1"/>
    <col min="2" max="2" width="36.25" style="4" customWidth="1"/>
    <col min="3" max="3" width="8.875" style="11" customWidth="1"/>
    <col min="4" max="4" width="9.625" style="18" customWidth="1"/>
    <col min="5" max="5" width="13.25" style="11" customWidth="1"/>
    <col min="6" max="6" width="8.5" style="11" customWidth="1"/>
    <col min="7" max="7" width="7.625" style="18" customWidth="1"/>
    <col min="8" max="8" width="13.25" style="11" customWidth="1"/>
    <col min="9" max="9" width="10" style="96" customWidth="1"/>
    <col min="10" max="10" width="10" style="101" customWidth="1"/>
    <col min="11" max="11" width="15.875" style="1" customWidth="1"/>
    <col min="12" max="12" width="10.375" style="62" hidden="1" customWidth="1"/>
    <col min="13" max="13" width="9.625" style="62" bestFit="1" customWidth="1"/>
    <col min="14" max="14" width="10.875" style="1" bestFit="1" customWidth="1"/>
    <col min="15" max="252" width="9" style="1"/>
    <col min="253" max="253" width="1.625" style="1" customWidth="1"/>
    <col min="254" max="254" width="35" style="1" customWidth="1"/>
    <col min="255" max="258" width="13.25" style="1" customWidth="1"/>
    <col min="259" max="259" width="38.875" style="1" customWidth="1"/>
    <col min="260" max="260" width="16.75" style="1" customWidth="1"/>
    <col min="261" max="508" width="9" style="1"/>
    <col min="509" max="509" width="1.625" style="1" customWidth="1"/>
    <col min="510" max="510" width="35" style="1" customWidth="1"/>
    <col min="511" max="514" width="13.25" style="1" customWidth="1"/>
    <col min="515" max="515" width="38.875" style="1" customWidth="1"/>
    <col min="516" max="516" width="16.75" style="1" customWidth="1"/>
    <col min="517" max="764" width="9" style="1"/>
    <col min="765" max="765" width="1.625" style="1" customWidth="1"/>
    <col min="766" max="766" width="35" style="1" customWidth="1"/>
    <col min="767" max="770" width="13.25" style="1" customWidth="1"/>
    <col min="771" max="771" width="38.875" style="1" customWidth="1"/>
    <col min="772" max="772" width="16.75" style="1" customWidth="1"/>
    <col min="773" max="1020" width="9" style="1"/>
    <col min="1021" max="1021" width="1.625" style="1" customWidth="1"/>
    <col min="1022" max="1022" width="35" style="1" customWidth="1"/>
    <col min="1023" max="1026" width="13.25" style="1" customWidth="1"/>
    <col min="1027" max="1027" width="38.875" style="1" customWidth="1"/>
    <col min="1028" max="1028" width="16.75" style="1" customWidth="1"/>
    <col min="1029" max="1276" width="9" style="1"/>
    <col min="1277" max="1277" width="1.625" style="1" customWidth="1"/>
    <col min="1278" max="1278" width="35" style="1" customWidth="1"/>
    <col min="1279" max="1282" width="13.25" style="1" customWidth="1"/>
    <col min="1283" max="1283" width="38.875" style="1" customWidth="1"/>
    <col min="1284" max="1284" width="16.75" style="1" customWidth="1"/>
    <col min="1285" max="1532" width="9" style="1"/>
    <col min="1533" max="1533" width="1.625" style="1" customWidth="1"/>
    <col min="1534" max="1534" width="35" style="1" customWidth="1"/>
    <col min="1535" max="1538" width="13.25" style="1" customWidth="1"/>
    <col min="1539" max="1539" width="38.875" style="1" customWidth="1"/>
    <col min="1540" max="1540" width="16.75" style="1" customWidth="1"/>
    <col min="1541" max="1788" width="9" style="1"/>
    <col min="1789" max="1789" width="1.625" style="1" customWidth="1"/>
    <col min="1790" max="1790" width="35" style="1" customWidth="1"/>
    <col min="1791" max="1794" width="13.25" style="1" customWidth="1"/>
    <col min="1795" max="1795" width="38.875" style="1" customWidth="1"/>
    <col min="1796" max="1796" width="16.75" style="1" customWidth="1"/>
    <col min="1797" max="2044" width="9" style="1"/>
    <col min="2045" max="2045" width="1.625" style="1" customWidth="1"/>
    <col min="2046" max="2046" width="35" style="1" customWidth="1"/>
    <col min="2047" max="2050" width="13.25" style="1" customWidth="1"/>
    <col min="2051" max="2051" width="38.875" style="1" customWidth="1"/>
    <col min="2052" max="2052" width="16.75" style="1" customWidth="1"/>
    <col min="2053" max="2300" width="9" style="1"/>
    <col min="2301" max="2301" width="1.625" style="1" customWidth="1"/>
    <col min="2302" max="2302" width="35" style="1" customWidth="1"/>
    <col min="2303" max="2306" width="13.25" style="1" customWidth="1"/>
    <col min="2307" max="2307" width="38.875" style="1" customWidth="1"/>
    <col min="2308" max="2308" width="16.75" style="1" customWidth="1"/>
    <col min="2309" max="2556" width="9" style="1"/>
    <col min="2557" max="2557" width="1.625" style="1" customWidth="1"/>
    <col min="2558" max="2558" width="35" style="1" customWidth="1"/>
    <col min="2559" max="2562" width="13.25" style="1" customWidth="1"/>
    <col min="2563" max="2563" width="38.875" style="1" customWidth="1"/>
    <col min="2564" max="2564" width="16.75" style="1" customWidth="1"/>
    <col min="2565" max="2812" width="9" style="1"/>
    <col min="2813" max="2813" width="1.625" style="1" customWidth="1"/>
    <col min="2814" max="2814" width="35" style="1" customWidth="1"/>
    <col min="2815" max="2818" width="13.25" style="1" customWidth="1"/>
    <col min="2819" max="2819" width="38.875" style="1" customWidth="1"/>
    <col min="2820" max="2820" width="16.75" style="1" customWidth="1"/>
    <col min="2821" max="3068" width="9" style="1"/>
    <col min="3069" max="3069" width="1.625" style="1" customWidth="1"/>
    <col min="3070" max="3070" width="35" style="1" customWidth="1"/>
    <col min="3071" max="3074" width="13.25" style="1" customWidth="1"/>
    <col min="3075" max="3075" width="38.875" style="1" customWidth="1"/>
    <col min="3076" max="3076" width="16.75" style="1" customWidth="1"/>
    <col min="3077" max="3324" width="9" style="1"/>
    <col min="3325" max="3325" width="1.625" style="1" customWidth="1"/>
    <col min="3326" max="3326" width="35" style="1" customWidth="1"/>
    <col min="3327" max="3330" width="13.25" style="1" customWidth="1"/>
    <col min="3331" max="3331" width="38.875" style="1" customWidth="1"/>
    <col min="3332" max="3332" width="16.75" style="1" customWidth="1"/>
    <col min="3333" max="3580" width="9" style="1"/>
    <col min="3581" max="3581" width="1.625" style="1" customWidth="1"/>
    <col min="3582" max="3582" width="35" style="1" customWidth="1"/>
    <col min="3583" max="3586" width="13.25" style="1" customWidth="1"/>
    <col min="3587" max="3587" width="38.875" style="1" customWidth="1"/>
    <col min="3588" max="3588" width="16.75" style="1" customWidth="1"/>
    <col min="3589" max="3836" width="9" style="1"/>
    <col min="3837" max="3837" width="1.625" style="1" customWidth="1"/>
    <col min="3838" max="3838" width="35" style="1" customWidth="1"/>
    <col min="3839" max="3842" width="13.25" style="1" customWidth="1"/>
    <col min="3843" max="3843" width="38.875" style="1" customWidth="1"/>
    <col min="3844" max="3844" width="16.75" style="1" customWidth="1"/>
    <col min="3845" max="4092" width="9" style="1"/>
    <col min="4093" max="4093" width="1.625" style="1" customWidth="1"/>
    <col min="4094" max="4094" width="35" style="1" customWidth="1"/>
    <col min="4095" max="4098" width="13.25" style="1" customWidth="1"/>
    <col min="4099" max="4099" width="38.875" style="1" customWidth="1"/>
    <col min="4100" max="4100" width="16.75" style="1" customWidth="1"/>
    <col min="4101" max="4348" width="9" style="1"/>
    <col min="4349" max="4349" width="1.625" style="1" customWidth="1"/>
    <col min="4350" max="4350" width="35" style="1" customWidth="1"/>
    <col min="4351" max="4354" width="13.25" style="1" customWidth="1"/>
    <col min="4355" max="4355" width="38.875" style="1" customWidth="1"/>
    <col min="4356" max="4356" width="16.75" style="1" customWidth="1"/>
    <col min="4357" max="4604" width="9" style="1"/>
    <col min="4605" max="4605" width="1.625" style="1" customWidth="1"/>
    <col min="4606" max="4606" width="35" style="1" customWidth="1"/>
    <col min="4607" max="4610" width="13.25" style="1" customWidth="1"/>
    <col min="4611" max="4611" width="38.875" style="1" customWidth="1"/>
    <col min="4612" max="4612" width="16.75" style="1" customWidth="1"/>
    <col min="4613" max="4860" width="9" style="1"/>
    <col min="4861" max="4861" width="1.625" style="1" customWidth="1"/>
    <col min="4862" max="4862" width="35" style="1" customWidth="1"/>
    <col min="4863" max="4866" width="13.25" style="1" customWidth="1"/>
    <col min="4867" max="4867" width="38.875" style="1" customWidth="1"/>
    <col min="4868" max="4868" width="16.75" style="1" customWidth="1"/>
    <col min="4869" max="5116" width="9" style="1"/>
    <col min="5117" max="5117" width="1.625" style="1" customWidth="1"/>
    <col min="5118" max="5118" width="35" style="1" customWidth="1"/>
    <col min="5119" max="5122" width="13.25" style="1" customWidth="1"/>
    <col min="5123" max="5123" width="38.875" style="1" customWidth="1"/>
    <col min="5124" max="5124" width="16.75" style="1" customWidth="1"/>
    <col min="5125" max="5372" width="9" style="1"/>
    <col min="5373" max="5373" width="1.625" style="1" customWidth="1"/>
    <col min="5374" max="5374" width="35" style="1" customWidth="1"/>
    <col min="5375" max="5378" width="13.25" style="1" customWidth="1"/>
    <col min="5379" max="5379" width="38.875" style="1" customWidth="1"/>
    <col min="5380" max="5380" width="16.75" style="1" customWidth="1"/>
    <col min="5381" max="5628" width="9" style="1"/>
    <col min="5629" max="5629" width="1.625" style="1" customWidth="1"/>
    <col min="5630" max="5630" width="35" style="1" customWidth="1"/>
    <col min="5631" max="5634" width="13.25" style="1" customWidth="1"/>
    <col min="5635" max="5635" width="38.875" style="1" customWidth="1"/>
    <col min="5636" max="5636" width="16.75" style="1" customWidth="1"/>
    <col min="5637" max="5884" width="9" style="1"/>
    <col min="5885" max="5885" width="1.625" style="1" customWidth="1"/>
    <col min="5886" max="5886" width="35" style="1" customWidth="1"/>
    <col min="5887" max="5890" width="13.25" style="1" customWidth="1"/>
    <col min="5891" max="5891" width="38.875" style="1" customWidth="1"/>
    <col min="5892" max="5892" width="16.75" style="1" customWidth="1"/>
    <col min="5893" max="6140" width="9" style="1"/>
    <col min="6141" max="6141" width="1.625" style="1" customWidth="1"/>
    <col min="6142" max="6142" width="35" style="1" customWidth="1"/>
    <col min="6143" max="6146" width="13.25" style="1" customWidth="1"/>
    <col min="6147" max="6147" width="38.875" style="1" customWidth="1"/>
    <col min="6148" max="6148" width="16.75" style="1" customWidth="1"/>
    <col min="6149" max="6396" width="9" style="1"/>
    <col min="6397" max="6397" width="1.625" style="1" customWidth="1"/>
    <col min="6398" max="6398" width="35" style="1" customWidth="1"/>
    <col min="6399" max="6402" width="13.25" style="1" customWidth="1"/>
    <col min="6403" max="6403" width="38.875" style="1" customWidth="1"/>
    <col min="6404" max="6404" width="16.75" style="1" customWidth="1"/>
    <col min="6405" max="6652" width="9" style="1"/>
    <col min="6653" max="6653" width="1.625" style="1" customWidth="1"/>
    <col min="6654" max="6654" width="35" style="1" customWidth="1"/>
    <col min="6655" max="6658" width="13.25" style="1" customWidth="1"/>
    <col min="6659" max="6659" width="38.875" style="1" customWidth="1"/>
    <col min="6660" max="6660" width="16.75" style="1" customWidth="1"/>
    <col min="6661" max="6908" width="9" style="1"/>
    <col min="6909" max="6909" width="1.625" style="1" customWidth="1"/>
    <col min="6910" max="6910" width="35" style="1" customWidth="1"/>
    <col min="6911" max="6914" width="13.25" style="1" customWidth="1"/>
    <col min="6915" max="6915" width="38.875" style="1" customWidth="1"/>
    <col min="6916" max="6916" width="16.75" style="1" customWidth="1"/>
    <col min="6917" max="7164" width="9" style="1"/>
    <col min="7165" max="7165" width="1.625" style="1" customWidth="1"/>
    <col min="7166" max="7166" width="35" style="1" customWidth="1"/>
    <col min="7167" max="7170" width="13.25" style="1" customWidth="1"/>
    <col min="7171" max="7171" width="38.875" style="1" customWidth="1"/>
    <col min="7172" max="7172" width="16.75" style="1" customWidth="1"/>
    <col min="7173" max="7420" width="9" style="1"/>
    <col min="7421" max="7421" width="1.625" style="1" customWidth="1"/>
    <col min="7422" max="7422" width="35" style="1" customWidth="1"/>
    <col min="7423" max="7426" width="13.25" style="1" customWidth="1"/>
    <col min="7427" max="7427" width="38.875" style="1" customWidth="1"/>
    <col min="7428" max="7428" width="16.75" style="1" customWidth="1"/>
    <col min="7429" max="7676" width="9" style="1"/>
    <col min="7677" max="7677" width="1.625" style="1" customWidth="1"/>
    <col min="7678" max="7678" width="35" style="1" customWidth="1"/>
    <col min="7679" max="7682" width="13.25" style="1" customWidth="1"/>
    <col min="7683" max="7683" width="38.875" style="1" customWidth="1"/>
    <col min="7684" max="7684" width="16.75" style="1" customWidth="1"/>
    <col min="7685" max="7932" width="9" style="1"/>
    <col min="7933" max="7933" width="1.625" style="1" customWidth="1"/>
    <col min="7934" max="7934" width="35" style="1" customWidth="1"/>
    <col min="7935" max="7938" width="13.25" style="1" customWidth="1"/>
    <col min="7939" max="7939" width="38.875" style="1" customWidth="1"/>
    <col min="7940" max="7940" width="16.75" style="1" customWidth="1"/>
    <col min="7941" max="8188" width="9" style="1"/>
    <col min="8189" max="8189" width="1.625" style="1" customWidth="1"/>
    <col min="8190" max="8190" width="35" style="1" customWidth="1"/>
    <col min="8191" max="8194" width="13.25" style="1" customWidth="1"/>
    <col min="8195" max="8195" width="38.875" style="1" customWidth="1"/>
    <col min="8196" max="8196" width="16.75" style="1" customWidth="1"/>
    <col min="8197" max="8444" width="9" style="1"/>
    <col min="8445" max="8445" width="1.625" style="1" customWidth="1"/>
    <col min="8446" max="8446" width="35" style="1" customWidth="1"/>
    <col min="8447" max="8450" width="13.25" style="1" customWidth="1"/>
    <col min="8451" max="8451" width="38.875" style="1" customWidth="1"/>
    <col min="8452" max="8452" width="16.75" style="1" customWidth="1"/>
    <col min="8453" max="8700" width="9" style="1"/>
    <col min="8701" max="8701" width="1.625" style="1" customWidth="1"/>
    <col min="8702" max="8702" width="35" style="1" customWidth="1"/>
    <col min="8703" max="8706" width="13.25" style="1" customWidth="1"/>
    <col min="8707" max="8707" width="38.875" style="1" customWidth="1"/>
    <col min="8708" max="8708" width="16.75" style="1" customWidth="1"/>
    <col min="8709" max="8956" width="9" style="1"/>
    <col min="8957" max="8957" width="1.625" style="1" customWidth="1"/>
    <col min="8958" max="8958" width="35" style="1" customWidth="1"/>
    <col min="8959" max="8962" width="13.25" style="1" customWidth="1"/>
    <col min="8963" max="8963" width="38.875" style="1" customWidth="1"/>
    <col min="8964" max="8964" width="16.75" style="1" customWidth="1"/>
    <col min="8965" max="9212" width="9" style="1"/>
    <col min="9213" max="9213" width="1.625" style="1" customWidth="1"/>
    <col min="9214" max="9214" width="35" style="1" customWidth="1"/>
    <col min="9215" max="9218" width="13.25" style="1" customWidth="1"/>
    <col min="9219" max="9219" width="38.875" style="1" customWidth="1"/>
    <col min="9220" max="9220" width="16.75" style="1" customWidth="1"/>
    <col min="9221" max="9468" width="9" style="1"/>
    <col min="9469" max="9469" width="1.625" style="1" customWidth="1"/>
    <col min="9470" max="9470" width="35" style="1" customWidth="1"/>
    <col min="9471" max="9474" width="13.25" style="1" customWidth="1"/>
    <col min="9475" max="9475" width="38.875" style="1" customWidth="1"/>
    <col min="9476" max="9476" width="16.75" style="1" customWidth="1"/>
    <col min="9477" max="9724" width="9" style="1"/>
    <col min="9725" max="9725" width="1.625" style="1" customWidth="1"/>
    <col min="9726" max="9726" width="35" style="1" customWidth="1"/>
    <col min="9727" max="9730" width="13.25" style="1" customWidth="1"/>
    <col min="9731" max="9731" width="38.875" style="1" customWidth="1"/>
    <col min="9732" max="9732" width="16.75" style="1" customWidth="1"/>
    <col min="9733" max="9980" width="9" style="1"/>
    <col min="9981" max="9981" width="1.625" style="1" customWidth="1"/>
    <col min="9982" max="9982" width="35" style="1" customWidth="1"/>
    <col min="9983" max="9986" width="13.25" style="1" customWidth="1"/>
    <col min="9987" max="9987" width="38.875" style="1" customWidth="1"/>
    <col min="9988" max="9988" width="16.75" style="1" customWidth="1"/>
    <col min="9989" max="10236" width="9" style="1"/>
    <col min="10237" max="10237" width="1.625" style="1" customWidth="1"/>
    <col min="10238" max="10238" width="35" style="1" customWidth="1"/>
    <col min="10239" max="10242" width="13.25" style="1" customWidth="1"/>
    <col min="10243" max="10243" width="38.875" style="1" customWidth="1"/>
    <col min="10244" max="10244" width="16.75" style="1" customWidth="1"/>
    <col min="10245" max="10492" width="9" style="1"/>
    <col min="10493" max="10493" width="1.625" style="1" customWidth="1"/>
    <col min="10494" max="10494" width="35" style="1" customWidth="1"/>
    <col min="10495" max="10498" width="13.25" style="1" customWidth="1"/>
    <col min="10499" max="10499" width="38.875" style="1" customWidth="1"/>
    <col min="10500" max="10500" width="16.75" style="1" customWidth="1"/>
    <col min="10501" max="10748" width="9" style="1"/>
    <col min="10749" max="10749" width="1.625" style="1" customWidth="1"/>
    <col min="10750" max="10750" width="35" style="1" customWidth="1"/>
    <col min="10751" max="10754" width="13.25" style="1" customWidth="1"/>
    <col min="10755" max="10755" width="38.875" style="1" customWidth="1"/>
    <col min="10756" max="10756" width="16.75" style="1" customWidth="1"/>
    <col min="10757" max="11004" width="9" style="1"/>
    <col min="11005" max="11005" width="1.625" style="1" customWidth="1"/>
    <col min="11006" max="11006" width="35" style="1" customWidth="1"/>
    <col min="11007" max="11010" width="13.25" style="1" customWidth="1"/>
    <col min="11011" max="11011" width="38.875" style="1" customWidth="1"/>
    <col min="11012" max="11012" width="16.75" style="1" customWidth="1"/>
    <col min="11013" max="11260" width="9" style="1"/>
    <col min="11261" max="11261" width="1.625" style="1" customWidth="1"/>
    <col min="11262" max="11262" width="35" style="1" customWidth="1"/>
    <col min="11263" max="11266" width="13.25" style="1" customWidth="1"/>
    <col min="11267" max="11267" width="38.875" style="1" customWidth="1"/>
    <col min="11268" max="11268" width="16.75" style="1" customWidth="1"/>
    <col min="11269" max="11516" width="9" style="1"/>
    <col min="11517" max="11517" width="1.625" style="1" customWidth="1"/>
    <col min="11518" max="11518" width="35" style="1" customWidth="1"/>
    <col min="11519" max="11522" width="13.25" style="1" customWidth="1"/>
    <col min="11523" max="11523" width="38.875" style="1" customWidth="1"/>
    <col min="11524" max="11524" width="16.75" style="1" customWidth="1"/>
    <col min="11525" max="11772" width="9" style="1"/>
    <col min="11773" max="11773" width="1.625" style="1" customWidth="1"/>
    <col min="11774" max="11774" width="35" style="1" customWidth="1"/>
    <col min="11775" max="11778" width="13.25" style="1" customWidth="1"/>
    <col min="11779" max="11779" width="38.875" style="1" customWidth="1"/>
    <col min="11780" max="11780" width="16.75" style="1" customWidth="1"/>
    <col min="11781" max="12028" width="9" style="1"/>
    <col min="12029" max="12029" width="1.625" style="1" customWidth="1"/>
    <col min="12030" max="12030" width="35" style="1" customWidth="1"/>
    <col min="12031" max="12034" width="13.25" style="1" customWidth="1"/>
    <col min="12035" max="12035" width="38.875" style="1" customWidth="1"/>
    <col min="12036" max="12036" width="16.75" style="1" customWidth="1"/>
    <col min="12037" max="12284" width="9" style="1"/>
    <col min="12285" max="12285" width="1.625" style="1" customWidth="1"/>
    <col min="12286" max="12286" width="35" style="1" customWidth="1"/>
    <col min="12287" max="12290" width="13.25" style="1" customWidth="1"/>
    <col min="12291" max="12291" width="38.875" style="1" customWidth="1"/>
    <col min="12292" max="12292" width="16.75" style="1" customWidth="1"/>
    <col min="12293" max="12540" width="9" style="1"/>
    <col min="12541" max="12541" width="1.625" style="1" customWidth="1"/>
    <col min="12542" max="12542" width="35" style="1" customWidth="1"/>
    <col min="12543" max="12546" width="13.25" style="1" customWidth="1"/>
    <col min="12547" max="12547" width="38.875" style="1" customWidth="1"/>
    <col min="12548" max="12548" width="16.75" style="1" customWidth="1"/>
    <col min="12549" max="12796" width="9" style="1"/>
    <col min="12797" max="12797" width="1.625" style="1" customWidth="1"/>
    <col min="12798" max="12798" width="35" style="1" customWidth="1"/>
    <col min="12799" max="12802" width="13.25" style="1" customWidth="1"/>
    <col min="12803" max="12803" width="38.875" style="1" customWidth="1"/>
    <col min="12804" max="12804" width="16.75" style="1" customWidth="1"/>
    <col min="12805" max="13052" width="9" style="1"/>
    <col min="13053" max="13053" width="1.625" style="1" customWidth="1"/>
    <col min="13054" max="13054" width="35" style="1" customWidth="1"/>
    <col min="13055" max="13058" width="13.25" style="1" customWidth="1"/>
    <col min="13059" max="13059" width="38.875" style="1" customWidth="1"/>
    <col min="13060" max="13060" width="16.75" style="1" customWidth="1"/>
    <col min="13061" max="13308" width="9" style="1"/>
    <col min="13309" max="13309" width="1.625" style="1" customWidth="1"/>
    <col min="13310" max="13310" width="35" style="1" customWidth="1"/>
    <col min="13311" max="13314" width="13.25" style="1" customWidth="1"/>
    <col min="13315" max="13315" width="38.875" style="1" customWidth="1"/>
    <col min="13316" max="13316" width="16.75" style="1" customWidth="1"/>
    <col min="13317" max="13564" width="9" style="1"/>
    <col min="13565" max="13565" width="1.625" style="1" customWidth="1"/>
    <col min="13566" max="13566" width="35" style="1" customWidth="1"/>
    <col min="13567" max="13570" width="13.25" style="1" customWidth="1"/>
    <col min="13571" max="13571" width="38.875" style="1" customWidth="1"/>
    <col min="13572" max="13572" width="16.75" style="1" customWidth="1"/>
    <col min="13573" max="13820" width="9" style="1"/>
    <col min="13821" max="13821" width="1.625" style="1" customWidth="1"/>
    <col min="13822" max="13822" width="35" style="1" customWidth="1"/>
    <col min="13823" max="13826" width="13.25" style="1" customWidth="1"/>
    <col min="13827" max="13827" width="38.875" style="1" customWidth="1"/>
    <col min="13828" max="13828" width="16.75" style="1" customWidth="1"/>
    <col min="13829" max="14076" width="9" style="1"/>
    <col min="14077" max="14077" width="1.625" style="1" customWidth="1"/>
    <col min="14078" max="14078" width="35" style="1" customWidth="1"/>
    <col min="14079" max="14082" width="13.25" style="1" customWidth="1"/>
    <col min="14083" max="14083" width="38.875" style="1" customWidth="1"/>
    <col min="14084" max="14084" width="16.75" style="1" customWidth="1"/>
    <col min="14085" max="14332" width="9" style="1"/>
    <col min="14333" max="14333" width="1.625" style="1" customWidth="1"/>
    <col min="14334" max="14334" width="35" style="1" customWidth="1"/>
    <col min="14335" max="14338" width="13.25" style="1" customWidth="1"/>
    <col min="14339" max="14339" width="38.875" style="1" customWidth="1"/>
    <col min="14340" max="14340" width="16.75" style="1" customWidth="1"/>
    <col min="14341" max="14588" width="9" style="1"/>
    <col min="14589" max="14589" width="1.625" style="1" customWidth="1"/>
    <col min="14590" max="14590" width="35" style="1" customWidth="1"/>
    <col min="14591" max="14594" width="13.25" style="1" customWidth="1"/>
    <col min="14595" max="14595" width="38.875" style="1" customWidth="1"/>
    <col min="14596" max="14596" width="16.75" style="1" customWidth="1"/>
    <col min="14597" max="14844" width="9" style="1"/>
    <col min="14845" max="14845" width="1.625" style="1" customWidth="1"/>
    <col min="14846" max="14846" width="35" style="1" customWidth="1"/>
    <col min="14847" max="14850" width="13.25" style="1" customWidth="1"/>
    <col min="14851" max="14851" width="38.875" style="1" customWidth="1"/>
    <col min="14852" max="14852" width="16.75" style="1" customWidth="1"/>
    <col min="14853" max="15100" width="9" style="1"/>
    <col min="15101" max="15101" width="1.625" style="1" customWidth="1"/>
    <col min="15102" max="15102" width="35" style="1" customWidth="1"/>
    <col min="15103" max="15106" width="13.25" style="1" customWidth="1"/>
    <col min="15107" max="15107" width="38.875" style="1" customWidth="1"/>
    <col min="15108" max="15108" width="16.75" style="1" customWidth="1"/>
    <col min="15109" max="15356" width="9" style="1"/>
    <col min="15357" max="15357" width="1.625" style="1" customWidth="1"/>
    <col min="15358" max="15358" width="35" style="1" customWidth="1"/>
    <col min="15359" max="15362" width="13.25" style="1" customWidth="1"/>
    <col min="15363" max="15363" width="38.875" style="1" customWidth="1"/>
    <col min="15364" max="15364" width="16.75" style="1" customWidth="1"/>
    <col min="15365" max="15612" width="9" style="1"/>
    <col min="15613" max="15613" width="1.625" style="1" customWidth="1"/>
    <col min="15614" max="15614" width="35" style="1" customWidth="1"/>
    <col min="15615" max="15618" width="13.25" style="1" customWidth="1"/>
    <col min="15619" max="15619" width="38.875" style="1" customWidth="1"/>
    <col min="15620" max="15620" width="16.75" style="1" customWidth="1"/>
    <col min="15621" max="15868" width="9" style="1"/>
    <col min="15869" max="15869" width="1.625" style="1" customWidth="1"/>
    <col min="15870" max="15870" width="35" style="1" customWidth="1"/>
    <col min="15871" max="15874" width="13.25" style="1" customWidth="1"/>
    <col min="15875" max="15875" width="38.875" style="1" customWidth="1"/>
    <col min="15876" max="15876" width="16.75" style="1" customWidth="1"/>
    <col min="15877" max="16124" width="9" style="1"/>
    <col min="16125" max="16125" width="1.625" style="1" customWidth="1"/>
    <col min="16126" max="16126" width="35" style="1" customWidth="1"/>
    <col min="16127" max="16130" width="13.25" style="1" customWidth="1"/>
    <col min="16131" max="16131" width="38.875" style="1" customWidth="1"/>
    <col min="16132" max="16132" width="16.75" style="1" customWidth="1"/>
    <col min="16133" max="16384" width="9" style="1"/>
  </cols>
  <sheetData>
    <row r="2" spans="2:11" ht="23.25" customHeight="1">
      <c r="B2" s="356" t="s">
        <v>63</v>
      </c>
      <c r="C2" s="356"/>
      <c r="D2" s="356"/>
      <c r="E2" s="356"/>
      <c r="F2" s="356"/>
      <c r="G2" s="356"/>
      <c r="H2" s="356"/>
      <c r="I2" s="356"/>
      <c r="J2" s="356"/>
      <c r="K2" s="356"/>
    </row>
    <row r="3" spans="2:11">
      <c r="B3" s="5" t="s">
        <v>78</v>
      </c>
    </row>
    <row r="4" spans="2:11">
      <c r="B4" s="5" t="s">
        <v>79</v>
      </c>
    </row>
    <row r="5" spans="2:11">
      <c r="B5" s="5" t="s">
        <v>1032</v>
      </c>
      <c r="G5" s="80"/>
      <c r="I5" s="1" t="s">
        <v>13</v>
      </c>
    </row>
    <row r="6" spans="2:11">
      <c r="B6" s="357" t="s">
        <v>12</v>
      </c>
      <c r="C6" s="353" t="s">
        <v>6</v>
      </c>
      <c r="D6" s="354"/>
      <c r="E6" s="355"/>
      <c r="F6" s="353" t="s">
        <v>7</v>
      </c>
      <c r="G6" s="354"/>
      <c r="H6" s="355"/>
      <c r="I6" s="97" t="s">
        <v>27</v>
      </c>
      <c r="J6" s="102" t="s">
        <v>27</v>
      </c>
      <c r="K6" s="359" t="s">
        <v>11</v>
      </c>
    </row>
    <row r="7" spans="2:11">
      <c r="B7" s="358"/>
      <c r="C7" s="12" t="s">
        <v>9</v>
      </c>
      <c r="D7" s="19" t="s">
        <v>8</v>
      </c>
      <c r="E7" s="12" t="s">
        <v>10</v>
      </c>
      <c r="F7" s="12" t="s">
        <v>9</v>
      </c>
      <c r="G7" s="19" t="s">
        <v>8</v>
      </c>
      <c r="H7" s="12" t="s">
        <v>10</v>
      </c>
      <c r="I7" s="98"/>
      <c r="J7" s="103" t="s">
        <v>28</v>
      </c>
      <c r="K7" s="360"/>
    </row>
    <row r="8" spans="2:11" ht="19.5" thickBot="1">
      <c r="B8" s="6" t="s">
        <v>0</v>
      </c>
      <c r="C8" s="13"/>
      <c r="D8" s="24"/>
      <c r="E8" s="14">
        <f>+E18</f>
        <v>75</v>
      </c>
      <c r="F8" s="13"/>
      <c r="G8" s="20"/>
      <c r="H8" s="14">
        <f>+H18</f>
        <v>200</v>
      </c>
      <c r="I8" s="99"/>
      <c r="J8" s="104"/>
      <c r="K8" s="3"/>
    </row>
    <row r="9" spans="2:11" ht="19.5" thickTop="1">
      <c r="B9" s="196" t="s">
        <v>29</v>
      </c>
      <c r="C9" s="197"/>
      <c r="D9" s="198"/>
      <c r="E9" s="197"/>
      <c r="F9" s="197"/>
      <c r="G9" s="198"/>
      <c r="H9" s="197"/>
      <c r="I9" s="199"/>
      <c r="J9" s="200"/>
      <c r="K9" s="201"/>
    </row>
    <row r="10" spans="2:11">
      <c r="B10" s="120" t="s">
        <v>30</v>
      </c>
      <c r="C10" s="121"/>
      <c r="D10" s="122"/>
      <c r="E10" s="121" t="s">
        <v>1031</v>
      </c>
      <c r="F10" s="121"/>
      <c r="G10" s="122"/>
      <c r="H10" s="121" t="s">
        <v>1031</v>
      </c>
      <c r="I10" s="123" t="s">
        <v>1031</v>
      </c>
      <c r="J10" s="124" t="s">
        <v>1031</v>
      </c>
      <c r="K10" s="125"/>
    </row>
    <row r="11" spans="2:11">
      <c r="B11" s="126" t="s">
        <v>31</v>
      </c>
      <c r="C11" s="127"/>
      <c r="D11" s="128"/>
      <c r="E11" s="127" t="s">
        <v>1031</v>
      </c>
      <c r="F11" s="127"/>
      <c r="G11" s="128"/>
      <c r="H11" s="127" t="s">
        <v>1031</v>
      </c>
      <c r="I11" s="127" t="s">
        <v>1031</v>
      </c>
      <c r="J11" s="127" t="s">
        <v>1031</v>
      </c>
      <c r="K11" s="131"/>
    </row>
    <row r="12" spans="2:11">
      <c r="B12" s="132" t="s">
        <v>32</v>
      </c>
      <c r="C12" s="133"/>
      <c r="D12" s="134"/>
      <c r="E12" s="133" t="s">
        <v>1031</v>
      </c>
      <c r="F12" s="133"/>
      <c r="G12" s="134"/>
      <c r="H12" s="133" t="s">
        <v>1031</v>
      </c>
      <c r="I12" s="133" t="s">
        <v>1031</v>
      </c>
      <c r="J12" s="133" t="s">
        <v>1031</v>
      </c>
      <c r="K12" s="137"/>
    </row>
    <row r="13" spans="2:11" hidden="1">
      <c r="B13" s="138" t="s">
        <v>72</v>
      </c>
      <c r="C13" s="139"/>
      <c r="D13" s="140"/>
      <c r="E13" s="139"/>
      <c r="F13" s="139"/>
      <c r="G13" s="140"/>
      <c r="H13" s="139"/>
      <c r="I13" s="141"/>
      <c r="J13" s="142"/>
      <c r="K13" s="143"/>
    </row>
    <row r="14" spans="2:11" hidden="1">
      <c r="B14" s="138" t="s">
        <v>33</v>
      </c>
      <c r="C14" s="139"/>
      <c r="D14" s="140"/>
      <c r="E14" s="139"/>
      <c r="F14" s="139"/>
      <c r="G14" s="140"/>
      <c r="H14" s="139"/>
      <c r="I14" s="141"/>
      <c r="J14" s="142"/>
      <c r="K14" s="143" t="s">
        <v>171</v>
      </c>
    </row>
    <row r="15" spans="2:11" hidden="1">
      <c r="B15" s="138" t="s">
        <v>34</v>
      </c>
      <c r="C15" s="139"/>
      <c r="D15" s="140"/>
      <c r="E15" s="139"/>
      <c r="F15" s="139"/>
      <c r="G15" s="140"/>
      <c r="H15" s="139"/>
      <c r="I15" s="141"/>
      <c r="J15" s="142"/>
      <c r="K15" s="143"/>
    </row>
    <row r="16" spans="2:11" hidden="1">
      <c r="B16" s="138" t="s">
        <v>35</v>
      </c>
      <c r="C16" s="139"/>
      <c r="D16" s="140"/>
      <c r="E16" s="139"/>
      <c r="F16" s="139"/>
      <c r="G16" s="140"/>
      <c r="H16" s="139"/>
      <c r="I16" s="141"/>
      <c r="J16" s="142"/>
      <c r="K16" s="143"/>
    </row>
    <row r="17" spans="1:19" hidden="1">
      <c r="B17" s="138" t="s">
        <v>36</v>
      </c>
      <c r="C17" s="139"/>
      <c r="D17" s="140"/>
      <c r="E17" s="139"/>
      <c r="F17" s="139"/>
      <c r="G17" s="140"/>
      <c r="H17" s="139"/>
      <c r="I17" s="141"/>
      <c r="J17" s="142"/>
      <c r="K17" s="143"/>
    </row>
    <row r="18" spans="1:19">
      <c r="B18" s="274" t="s">
        <v>37</v>
      </c>
      <c r="C18" s="275"/>
      <c r="D18" s="276"/>
      <c r="E18" s="275">
        <f>+E23</f>
        <v>75</v>
      </c>
      <c r="F18" s="275"/>
      <c r="G18" s="276"/>
      <c r="H18" s="275">
        <f>+H23</f>
        <v>200</v>
      </c>
      <c r="I18" s="277">
        <f t="shared" ref="I18:I28" si="0">+H18-E18</f>
        <v>125</v>
      </c>
      <c r="J18" s="278">
        <f t="shared" ref="J18:J28" si="1">+I18*100/H18</f>
        <v>62.5</v>
      </c>
      <c r="K18" s="279"/>
    </row>
    <row r="19" spans="1:19" s="106" customFormat="1" hidden="1">
      <c r="B19" s="138" t="s">
        <v>72</v>
      </c>
      <c r="C19" s="139"/>
      <c r="D19" s="140"/>
      <c r="E19" s="139"/>
      <c r="F19" s="139"/>
      <c r="G19" s="140"/>
      <c r="H19" s="139"/>
      <c r="I19" s="141"/>
      <c r="J19" s="142"/>
      <c r="K19" s="143"/>
      <c r="L19" s="105"/>
      <c r="M19" s="105"/>
    </row>
    <row r="20" spans="1:19" s="106" customFormat="1" hidden="1">
      <c r="B20" s="138" t="s">
        <v>33</v>
      </c>
      <c r="C20" s="139"/>
      <c r="D20" s="140"/>
      <c r="E20" s="139"/>
      <c r="F20" s="139"/>
      <c r="G20" s="140"/>
      <c r="H20" s="139"/>
      <c r="I20" s="141"/>
      <c r="J20" s="142"/>
      <c r="K20" s="143"/>
      <c r="L20" s="105"/>
      <c r="M20" s="105"/>
    </row>
    <row r="21" spans="1:19" s="106" customFormat="1" hidden="1">
      <c r="B21" s="138" t="s">
        <v>34</v>
      </c>
      <c r="C21" s="139"/>
      <c r="D21" s="140"/>
      <c r="E21" s="139"/>
      <c r="F21" s="139"/>
      <c r="G21" s="140"/>
      <c r="H21" s="139"/>
      <c r="I21" s="141"/>
      <c r="J21" s="142"/>
      <c r="K21" s="143"/>
      <c r="L21" s="105"/>
      <c r="M21" s="105"/>
    </row>
    <row r="22" spans="1:19" s="106" customFormat="1" hidden="1">
      <c r="B22" s="138" t="s">
        <v>35</v>
      </c>
      <c r="C22" s="139"/>
      <c r="D22" s="140"/>
      <c r="E22" s="139"/>
      <c r="F22" s="139"/>
      <c r="G22" s="140"/>
      <c r="H22" s="139"/>
      <c r="I22" s="141"/>
      <c r="J22" s="142"/>
      <c r="K22" s="143"/>
      <c r="L22" s="105"/>
      <c r="M22" s="105"/>
    </row>
    <row r="23" spans="1:19" s="106" customFormat="1" hidden="1">
      <c r="B23" s="138" t="s">
        <v>36</v>
      </c>
      <c r="C23" s="139"/>
      <c r="D23" s="140"/>
      <c r="E23" s="139">
        <f>+E24</f>
        <v>75</v>
      </c>
      <c r="F23" s="139"/>
      <c r="G23" s="140"/>
      <c r="H23" s="139">
        <f>+H24</f>
        <v>200</v>
      </c>
      <c r="I23" s="141">
        <f t="shared" si="0"/>
        <v>125</v>
      </c>
      <c r="J23" s="142">
        <f t="shared" si="1"/>
        <v>62.5</v>
      </c>
      <c r="K23" s="143"/>
      <c r="L23" s="105"/>
      <c r="M23" s="105"/>
    </row>
    <row r="24" spans="1:19" s="62" customFormat="1">
      <c r="A24" s="1"/>
      <c r="B24" s="150" t="s">
        <v>66</v>
      </c>
      <c r="C24" s="151"/>
      <c r="D24" s="152"/>
      <c r="E24" s="151">
        <f>+E25</f>
        <v>75</v>
      </c>
      <c r="F24" s="151"/>
      <c r="G24" s="152"/>
      <c r="H24" s="151">
        <f>+H25</f>
        <v>200</v>
      </c>
      <c r="I24" s="153">
        <f t="shared" si="0"/>
        <v>125</v>
      </c>
      <c r="J24" s="154">
        <f t="shared" si="1"/>
        <v>62.5</v>
      </c>
      <c r="K24" s="155"/>
      <c r="N24" s="1"/>
      <c r="O24" s="1"/>
      <c r="P24" s="1"/>
      <c r="Q24" s="1"/>
      <c r="R24" s="1"/>
      <c r="S24" s="1"/>
    </row>
    <row r="25" spans="1:19" s="62" customFormat="1" ht="48.75" customHeight="1">
      <c r="A25" s="1"/>
      <c r="B25" s="156" t="s">
        <v>186</v>
      </c>
      <c r="C25" s="157"/>
      <c r="D25" s="158"/>
      <c r="E25" s="157">
        <f>+E27</f>
        <v>75</v>
      </c>
      <c r="F25" s="157"/>
      <c r="G25" s="158"/>
      <c r="H25" s="157">
        <f>+H27</f>
        <v>200</v>
      </c>
      <c r="I25" s="159">
        <f t="shared" si="0"/>
        <v>125</v>
      </c>
      <c r="J25" s="160">
        <f t="shared" si="1"/>
        <v>62.5</v>
      </c>
      <c r="K25" s="161"/>
      <c r="N25" s="1"/>
      <c r="O25" s="1"/>
      <c r="P25" s="1"/>
      <c r="Q25" s="1"/>
      <c r="R25" s="1"/>
      <c r="S25" s="1"/>
    </row>
    <row r="26" spans="1:19" s="62" customFormat="1">
      <c r="A26" s="1"/>
      <c r="B26" s="202" t="s">
        <v>74</v>
      </c>
      <c r="C26" s="168"/>
      <c r="D26" s="169"/>
      <c r="E26" s="168"/>
      <c r="F26" s="168"/>
      <c r="G26" s="169"/>
      <c r="H26" s="168"/>
      <c r="I26" s="141"/>
      <c r="J26" s="142"/>
      <c r="K26" s="170"/>
      <c r="N26" s="1"/>
      <c r="O26" s="1"/>
      <c r="P26" s="1"/>
      <c r="Q26" s="1"/>
      <c r="R26" s="1"/>
      <c r="S26" s="1"/>
    </row>
    <row r="27" spans="1:19" s="62" customFormat="1">
      <c r="A27" s="1"/>
      <c r="B27" s="254" t="s">
        <v>1033</v>
      </c>
      <c r="C27" s="180"/>
      <c r="D27" s="181"/>
      <c r="E27" s="180">
        <f>+E28+E30</f>
        <v>75</v>
      </c>
      <c r="F27" s="180"/>
      <c r="G27" s="181"/>
      <c r="H27" s="180">
        <f>+H28+H30</f>
        <v>200</v>
      </c>
      <c r="I27" s="182">
        <f t="shared" si="0"/>
        <v>125</v>
      </c>
      <c r="J27" s="183">
        <f t="shared" si="1"/>
        <v>62.5</v>
      </c>
      <c r="K27" s="184"/>
      <c r="N27" s="1"/>
      <c r="O27" s="1"/>
      <c r="P27" s="1"/>
      <c r="Q27" s="1"/>
      <c r="R27" s="1"/>
      <c r="S27" s="1"/>
    </row>
    <row r="28" spans="1:19" s="62" customFormat="1" ht="45.75" customHeight="1">
      <c r="A28" s="16"/>
      <c r="B28" s="209" t="s">
        <v>1034</v>
      </c>
      <c r="C28" s="210"/>
      <c r="D28" s="211"/>
      <c r="E28" s="210">
        <f>+E29</f>
        <v>25</v>
      </c>
      <c r="F28" s="210"/>
      <c r="G28" s="211"/>
      <c r="H28" s="210">
        <f>+H29</f>
        <v>80</v>
      </c>
      <c r="I28" s="212">
        <f t="shared" si="0"/>
        <v>55</v>
      </c>
      <c r="J28" s="213">
        <f t="shared" si="1"/>
        <v>68.75</v>
      </c>
      <c r="K28" s="214"/>
      <c r="N28" s="1"/>
      <c r="O28" s="1"/>
      <c r="P28" s="1"/>
      <c r="Q28" s="1"/>
      <c r="R28" s="1"/>
      <c r="S28" s="1"/>
    </row>
    <row r="29" spans="1:19" s="62" customFormat="1">
      <c r="A29" s="1"/>
      <c r="B29" s="175" t="s">
        <v>1035</v>
      </c>
      <c r="C29" s="139"/>
      <c r="D29" s="140"/>
      <c r="E29" s="139">
        <v>25</v>
      </c>
      <c r="F29" s="139"/>
      <c r="G29" s="140"/>
      <c r="H29" s="139">
        <v>80</v>
      </c>
      <c r="I29" s="141">
        <f t="shared" ref="I29:I30" si="2">+H29-E29</f>
        <v>55</v>
      </c>
      <c r="J29" s="142">
        <f t="shared" ref="J29:J30" si="3">+I29*100/H29</f>
        <v>68.75</v>
      </c>
      <c r="K29" s="143"/>
      <c r="L29" s="105"/>
      <c r="M29" s="105"/>
      <c r="N29" s="1"/>
      <c r="O29" s="1"/>
      <c r="P29" s="1"/>
      <c r="Q29" s="1"/>
      <c r="R29" s="1"/>
      <c r="S29" s="1"/>
    </row>
    <row r="30" spans="1:19" s="62" customFormat="1" ht="45.75" customHeight="1">
      <c r="A30" s="16"/>
      <c r="B30" s="209" t="s">
        <v>1036</v>
      </c>
      <c r="C30" s="210"/>
      <c r="D30" s="211"/>
      <c r="E30" s="210">
        <f>+E31</f>
        <v>50</v>
      </c>
      <c r="F30" s="210"/>
      <c r="G30" s="211"/>
      <c r="H30" s="210">
        <f>+H31</f>
        <v>120</v>
      </c>
      <c r="I30" s="212">
        <f t="shared" si="2"/>
        <v>70</v>
      </c>
      <c r="J30" s="213">
        <f t="shared" si="3"/>
        <v>58.333333333333336</v>
      </c>
      <c r="K30" s="214"/>
      <c r="N30" s="1"/>
      <c r="O30" s="1"/>
      <c r="P30" s="1"/>
      <c r="Q30" s="1"/>
      <c r="R30" s="1"/>
      <c r="S30" s="1"/>
    </row>
    <row r="31" spans="1:19" s="62" customFormat="1">
      <c r="A31" s="1"/>
      <c r="B31" s="175" t="s">
        <v>1035</v>
      </c>
      <c r="C31" s="139"/>
      <c r="D31" s="140"/>
      <c r="E31" s="139">
        <v>50</v>
      </c>
      <c r="F31" s="139"/>
      <c r="G31" s="140"/>
      <c r="H31" s="139">
        <v>120</v>
      </c>
      <c r="I31" s="141">
        <f t="shared" ref="I31" si="4">+H31-E31</f>
        <v>70</v>
      </c>
      <c r="J31" s="142">
        <f t="shared" ref="J31" si="5">+I31*100/H31</f>
        <v>58.333333333333336</v>
      </c>
      <c r="K31" s="143"/>
      <c r="N31" s="1"/>
      <c r="O31" s="1"/>
      <c r="P31" s="1"/>
      <c r="Q31" s="1"/>
      <c r="R31" s="1"/>
      <c r="S31" s="1"/>
    </row>
  </sheetData>
  <mergeCells count="5">
    <mergeCell ref="B2:K2"/>
    <mergeCell ref="B6:B7"/>
    <mergeCell ref="C6:E6"/>
    <mergeCell ref="F6:H6"/>
    <mergeCell ref="K6:K7"/>
  </mergeCells>
  <pageMargins left="0.25" right="0.2" top="0.33" bottom="0.32" header="0.18" footer="0.24"/>
  <pageSetup paperSize="9" scale="95" fitToHeight="0" orientation="landscape" useFirstPageNumber="1" r:id="rId1"/>
  <headerFooter differentFirst="1">
    <oddHeader>&amp;C&amp;"TH SarabunPSK,ธรรมดา"&amp;16&amp;P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29"/>
  <sheetViews>
    <sheetView topLeftCell="A114" workbookViewId="0">
      <selection activeCell="D130" sqref="D130"/>
    </sheetView>
  </sheetViews>
  <sheetFormatPr defaultRowHeight="18.75"/>
  <cols>
    <col min="1" max="1" width="39.625" style="27" customWidth="1"/>
    <col min="2" max="2" width="10.25" style="27" customWidth="1"/>
    <col min="3" max="3" width="9" style="27"/>
    <col min="4" max="5" width="9" style="31"/>
    <col min="6" max="16384" width="9" style="27"/>
  </cols>
  <sheetData>
    <row r="1" spans="1:5">
      <c r="A1" s="54" t="s">
        <v>243</v>
      </c>
    </row>
    <row r="2" spans="1:5">
      <c r="A2" s="29" t="s">
        <v>193</v>
      </c>
      <c r="B2" s="32" t="s">
        <v>194</v>
      </c>
      <c r="C2" s="32" t="s">
        <v>195</v>
      </c>
      <c r="D2" s="33" t="s">
        <v>80</v>
      </c>
      <c r="E2" s="34" t="s">
        <v>199</v>
      </c>
    </row>
    <row r="3" spans="1:5">
      <c r="A3" s="373" t="s">
        <v>208</v>
      </c>
      <c r="B3" s="373"/>
      <c r="C3" s="373"/>
      <c r="D3" s="373"/>
      <c r="E3" s="373"/>
    </row>
    <row r="4" spans="1:5">
      <c r="A4" s="35" t="s">
        <v>198</v>
      </c>
      <c r="B4" s="35"/>
      <c r="C4" s="35"/>
      <c r="D4" s="36"/>
      <c r="E4" s="36"/>
    </row>
    <row r="5" spans="1:5">
      <c r="A5" s="37" t="s">
        <v>196</v>
      </c>
      <c r="B5" s="39">
        <v>32</v>
      </c>
      <c r="C5" s="39">
        <v>1</v>
      </c>
      <c r="D5" s="40">
        <v>2000</v>
      </c>
      <c r="E5" s="40">
        <f>+D5*C5*B5</f>
        <v>64000</v>
      </c>
    </row>
    <row r="6" spans="1:5">
      <c r="A6" s="37" t="s">
        <v>197</v>
      </c>
      <c r="B6" s="39">
        <v>32</v>
      </c>
      <c r="C6" s="39">
        <v>14</v>
      </c>
      <c r="D6" s="40">
        <v>1600</v>
      </c>
      <c r="E6" s="40">
        <f>+D6*C6*B6</f>
        <v>716800</v>
      </c>
    </row>
    <row r="7" spans="1:5" s="28" customFormat="1">
      <c r="A7" s="41" t="s">
        <v>199</v>
      </c>
      <c r="B7" s="370"/>
      <c r="C7" s="371"/>
      <c r="D7" s="372"/>
      <c r="E7" s="51">
        <f>+E6+E5</f>
        <v>780800</v>
      </c>
    </row>
    <row r="8" spans="1:5">
      <c r="A8" s="37"/>
      <c r="B8" s="37"/>
      <c r="C8" s="37"/>
      <c r="D8" s="38"/>
      <c r="E8" s="38"/>
    </row>
    <row r="9" spans="1:5">
      <c r="A9" s="35" t="s">
        <v>200</v>
      </c>
      <c r="B9" s="35"/>
      <c r="C9" s="35"/>
      <c r="D9" s="36"/>
      <c r="E9" s="36"/>
    </row>
    <row r="10" spans="1:5">
      <c r="A10" s="37" t="s">
        <v>196</v>
      </c>
      <c r="B10" s="39">
        <v>12</v>
      </c>
      <c r="C10" s="39">
        <v>1</v>
      </c>
      <c r="D10" s="40">
        <v>1250</v>
      </c>
      <c r="E10" s="40">
        <f>+D10*C10*B10</f>
        <v>15000</v>
      </c>
    </row>
    <row r="11" spans="1:5">
      <c r="A11" s="37" t="s">
        <v>197</v>
      </c>
      <c r="B11" s="39">
        <v>12</v>
      </c>
      <c r="C11" s="39">
        <v>11</v>
      </c>
      <c r="D11" s="40">
        <v>1000</v>
      </c>
      <c r="E11" s="40">
        <f>+D11*C11*B11</f>
        <v>132000</v>
      </c>
    </row>
    <row r="12" spans="1:5" s="28" customFormat="1">
      <c r="A12" s="41" t="s">
        <v>199</v>
      </c>
      <c r="B12" s="370"/>
      <c r="C12" s="371"/>
      <c r="D12" s="372"/>
      <c r="E12" s="51">
        <f>+E11+E10</f>
        <v>147000</v>
      </c>
    </row>
    <row r="13" spans="1:5">
      <c r="A13" s="37"/>
      <c r="B13" s="37"/>
      <c r="C13" s="37"/>
      <c r="D13" s="38"/>
      <c r="E13" s="38"/>
    </row>
    <row r="14" spans="1:5">
      <c r="A14" s="35" t="s">
        <v>201</v>
      </c>
      <c r="B14" s="35"/>
      <c r="C14" s="35"/>
      <c r="D14" s="36"/>
      <c r="E14" s="36"/>
    </row>
    <row r="15" spans="1:5">
      <c r="A15" s="37" t="s">
        <v>196</v>
      </c>
      <c r="B15" s="39">
        <v>3</v>
      </c>
      <c r="C15" s="39">
        <v>1</v>
      </c>
      <c r="D15" s="40">
        <v>1250</v>
      </c>
      <c r="E15" s="40">
        <f>+D15*C15*B15</f>
        <v>3750</v>
      </c>
    </row>
    <row r="16" spans="1:5">
      <c r="A16" s="37" t="s">
        <v>197</v>
      </c>
      <c r="B16" s="39">
        <v>3</v>
      </c>
      <c r="C16" s="39">
        <v>9</v>
      </c>
      <c r="D16" s="40">
        <v>1000</v>
      </c>
      <c r="E16" s="40">
        <f>+D16*C16*B16</f>
        <v>27000</v>
      </c>
    </row>
    <row r="17" spans="1:5">
      <c r="A17" s="41" t="s">
        <v>199</v>
      </c>
      <c r="B17" s="380"/>
      <c r="C17" s="381"/>
      <c r="D17" s="382"/>
      <c r="E17" s="38">
        <f>+E16+E15</f>
        <v>30750</v>
      </c>
    </row>
    <row r="18" spans="1:5" s="28" customFormat="1">
      <c r="A18" s="42" t="s">
        <v>199</v>
      </c>
      <c r="B18" s="370" t="s">
        <v>202</v>
      </c>
      <c r="C18" s="371"/>
      <c r="D18" s="372"/>
      <c r="E18" s="52">
        <f>+E17*69</f>
        <v>2121750</v>
      </c>
    </row>
    <row r="19" spans="1:5">
      <c r="A19" s="42"/>
      <c r="B19" s="43"/>
      <c r="C19" s="44"/>
      <c r="D19" s="45"/>
      <c r="E19" s="46"/>
    </row>
    <row r="20" spans="1:5">
      <c r="A20" s="35" t="s">
        <v>203</v>
      </c>
      <c r="B20" s="35"/>
      <c r="C20" s="35"/>
      <c r="D20" s="36"/>
      <c r="E20" s="36"/>
    </row>
    <row r="21" spans="1:5">
      <c r="A21" s="37" t="s">
        <v>196</v>
      </c>
      <c r="B21" s="39">
        <v>3</v>
      </c>
      <c r="C21" s="39">
        <v>1</v>
      </c>
      <c r="D21" s="40">
        <v>1250</v>
      </c>
      <c r="E21" s="40">
        <f>+D21*C21*B21</f>
        <v>3750</v>
      </c>
    </row>
    <row r="22" spans="1:5">
      <c r="A22" s="37" t="s">
        <v>197</v>
      </c>
      <c r="B22" s="39">
        <v>3</v>
      </c>
      <c r="C22" s="39">
        <v>10</v>
      </c>
      <c r="D22" s="40">
        <v>1000</v>
      </c>
      <c r="E22" s="40">
        <f>+D22*C22*B22</f>
        <v>30000</v>
      </c>
    </row>
    <row r="23" spans="1:5" s="28" customFormat="1">
      <c r="A23" s="41" t="s">
        <v>199</v>
      </c>
      <c r="B23" s="370"/>
      <c r="C23" s="371"/>
      <c r="D23" s="372"/>
      <c r="E23" s="51">
        <f>+E22+E21</f>
        <v>33750</v>
      </c>
    </row>
    <row r="24" spans="1:5">
      <c r="A24" s="42"/>
      <c r="B24" s="380" t="s">
        <v>204</v>
      </c>
      <c r="C24" s="381"/>
      <c r="D24" s="382"/>
      <c r="E24" s="46">
        <f>+E23*6</f>
        <v>202500</v>
      </c>
    </row>
    <row r="25" spans="1:5">
      <c r="A25" s="35" t="s">
        <v>206</v>
      </c>
      <c r="B25" s="35"/>
      <c r="C25" s="35"/>
      <c r="D25" s="36"/>
      <c r="E25" s="36"/>
    </row>
    <row r="26" spans="1:5">
      <c r="A26" s="37" t="s">
        <v>196</v>
      </c>
      <c r="B26" s="39">
        <v>3</v>
      </c>
      <c r="C26" s="39">
        <v>1</v>
      </c>
      <c r="D26" s="40">
        <v>1250</v>
      </c>
      <c r="E26" s="40">
        <f>+D26*C26*B26</f>
        <v>3750</v>
      </c>
    </row>
    <row r="27" spans="1:5">
      <c r="A27" s="37" t="s">
        <v>197</v>
      </c>
      <c r="B27" s="39">
        <v>3</v>
      </c>
      <c r="C27" s="39">
        <v>11</v>
      </c>
      <c r="D27" s="40">
        <v>1000</v>
      </c>
      <c r="E27" s="40">
        <f>+D27*C27*B27</f>
        <v>33000</v>
      </c>
    </row>
    <row r="28" spans="1:5" s="28" customFormat="1">
      <c r="A28" s="42" t="s">
        <v>199</v>
      </c>
      <c r="B28" s="364"/>
      <c r="C28" s="365"/>
      <c r="D28" s="366"/>
      <c r="E28" s="52">
        <f>+E27+E26</f>
        <v>36750</v>
      </c>
    </row>
    <row r="29" spans="1:5">
      <c r="A29" s="47" t="s">
        <v>205</v>
      </c>
      <c r="B29" s="48"/>
      <c r="C29" s="48"/>
      <c r="D29" s="49"/>
      <c r="E29" s="50"/>
    </row>
    <row r="30" spans="1:5" ht="19.5" thickBot="1">
      <c r="A30" s="383" t="s">
        <v>207</v>
      </c>
      <c r="B30" s="383"/>
      <c r="C30" s="383"/>
      <c r="D30" s="383"/>
      <c r="E30" s="53">
        <f>+E28+E24+E18+E12+E7</f>
        <v>3288800</v>
      </c>
    </row>
    <row r="31" spans="1:5" ht="19.5" thickTop="1"/>
    <row r="32" spans="1:5">
      <c r="A32" s="54" t="s">
        <v>246</v>
      </c>
    </row>
    <row r="33" spans="1:5">
      <c r="A33" s="29" t="s">
        <v>193</v>
      </c>
      <c r="B33" s="32" t="s">
        <v>194</v>
      </c>
      <c r="C33" s="32" t="s">
        <v>195</v>
      </c>
      <c r="D33" s="33" t="s">
        <v>80</v>
      </c>
      <c r="E33" s="34" t="s">
        <v>199</v>
      </c>
    </row>
    <row r="34" spans="1:5">
      <c r="A34" s="373" t="s">
        <v>247</v>
      </c>
      <c r="B34" s="373"/>
      <c r="C34" s="373"/>
      <c r="D34" s="373"/>
      <c r="E34" s="373"/>
    </row>
    <row r="35" spans="1:5" ht="46.5" customHeight="1">
      <c r="A35" s="374" t="s">
        <v>248</v>
      </c>
      <c r="B35" s="375"/>
      <c r="C35" s="375"/>
      <c r="D35" s="375"/>
      <c r="E35" s="376"/>
    </row>
    <row r="36" spans="1:5">
      <c r="A36" s="37" t="s">
        <v>196</v>
      </c>
      <c r="B36" s="39">
        <v>30</v>
      </c>
      <c r="C36" s="39">
        <v>1</v>
      </c>
      <c r="D36" s="40">
        <v>1250</v>
      </c>
      <c r="E36" s="40">
        <f>+D36*C36*B36</f>
        <v>37500</v>
      </c>
    </row>
    <row r="37" spans="1:5">
      <c r="A37" s="37" t="s">
        <v>197</v>
      </c>
      <c r="B37" s="39">
        <v>30</v>
      </c>
      <c r="C37" s="39">
        <v>28</v>
      </c>
      <c r="D37" s="40">
        <v>1000</v>
      </c>
      <c r="E37" s="40">
        <f>+D37*C37*B37</f>
        <v>840000</v>
      </c>
    </row>
    <row r="38" spans="1:5" s="28" customFormat="1">
      <c r="A38" s="41" t="s">
        <v>199</v>
      </c>
      <c r="B38" s="370"/>
      <c r="C38" s="371"/>
      <c r="D38" s="372"/>
      <c r="E38" s="51">
        <f>+E37+E36</f>
        <v>877500</v>
      </c>
    </row>
    <row r="39" spans="1:5" ht="46.5" customHeight="1">
      <c r="A39" s="374" t="s">
        <v>249</v>
      </c>
      <c r="B39" s="375"/>
      <c r="C39" s="375"/>
      <c r="D39" s="375"/>
      <c r="E39" s="376"/>
    </row>
    <row r="40" spans="1:5">
      <c r="A40" s="37" t="s">
        <v>196</v>
      </c>
      <c r="B40" s="39">
        <v>12</v>
      </c>
      <c r="C40" s="39">
        <v>1</v>
      </c>
      <c r="D40" s="40">
        <v>1250</v>
      </c>
      <c r="E40" s="40">
        <f>+D40*C40*B40</f>
        <v>15000</v>
      </c>
    </row>
    <row r="41" spans="1:5">
      <c r="A41" s="37" t="s">
        <v>197</v>
      </c>
      <c r="B41" s="39">
        <v>12</v>
      </c>
      <c r="C41" s="39">
        <v>30</v>
      </c>
      <c r="D41" s="40">
        <v>1000</v>
      </c>
      <c r="E41" s="40">
        <f>+D41*C41*B41</f>
        <v>360000</v>
      </c>
    </row>
    <row r="42" spans="1:5" s="28" customFormat="1">
      <c r="A42" s="41" t="s">
        <v>199</v>
      </c>
      <c r="B42" s="370"/>
      <c r="C42" s="371"/>
      <c r="D42" s="372"/>
      <c r="E42" s="51">
        <f>+E41+E40</f>
        <v>375000</v>
      </c>
    </row>
    <row r="43" spans="1:5">
      <c r="A43" s="37"/>
      <c r="B43" s="37"/>
      <c r="C43" s="37"/>
      <c r="D43" s="38"/>
      <c r="E43" s="38"/>
    </row>
    <row r="44" spans="1:5" ht="21.75" customHeight="1">
      <c r="A44" s="374" t="s">
        <v>250</v>
      </c>
      <c r="B44" s="375"/>
      <c r="C44" s="375"/>
      <c r="D44" s="375"/>
      <c r="E44" s="376"/>
    </row>
    <row r="45" spans="1:5">
      <c r="A45" s="37" t="s">
        <v>196</v>
      </c>
      <c r="B45" s="39">
        <v>28</v>
      </c>
      <c r="C45" s="39">
        <v>1</v>
      </c>
      <c r="D45" s="40">
        <v>1500</v>
      </c>
      <c r="E45" s="40">
        <f>+D45*C45*B45</f>
        <v>42000</v>
      </c>
    </row>
    <row r="46" spans="1:5">
      <c r="A46" s="37" t="s">
        <v>197</v>
      </c>
      <c r="B46" s="39">
        <v>28</v>
      </c>
      <c r="C46" s="39">
        <v>4</v>
      </c>
      <c r="D46" s="40">
        <v>1200</v>
      </c>
      <c r="E46" s="40">
        <f>+D46*C46*B46</f>
        <v>134400</v>
      </c>
    </row>
    <row r="47" spans="1:5">
      <c r="A47" s="41" t="s">
        <v>199</v>
      </c>
      <c r="B47" s="370"/>
      <c r="C47" s="371"/>
      <c r="D47" s="372"/>
      <c r="E47" s="51">
        <f>+E46+E45</f>
        <v>176400</v>
      </c>
    </row>
    <row r="48" spans="1:5">
      <c r="A48" s="56"/>
      <c r="B48" s="56"/>
      <c r="C48" s="56"/>
      <c r="D48" s="46"/>
      <c r="E48" s="46"/>
    </row>
    <row r="49" spans="1:5">
      <c r="A49" s="377" t="s">
        <v>0</v>
      </c>
      <c r="B49" s="378"/>
      <c r="C49" s="378"/>
      <c r="D49" s="379"/>
      <c r="E49" s="30">
        <f>+E47+E42+E38</f>
        <v>1428900</v>
      </c>
    </row>
    <row r="51" spans="1:5">
      <c r="A51" s="373" t="s">
        <v>294</v>
      </c>
      <c r="B51" s="373"/>
      <c r="C51" s="373"/>
      <c r="D51" s="373"/>
      <c r="E51" s="373"/>
    </row>
    <row r="52" spans="1:5">
      <c r="A52" s="374" t="s">
        <v>295</v>
      </c>
      <c r="B52" s="375"/>
      <c r="C52" s="375"/>
      <c r="D52" s="375"/>
      <c r="E52" s="376"/>
    </row>
    <row r="53" spans="1:5">
      <c r="A53" s="37" t="s">
        <v>196</v>
      </c>
      <c r="B53" s="39">
        <v>4</v>
      </c>
      <c r="C53" s="39">
        <v>1</v>
      </c>
      <c r="D53" s="40">
        <v>1500</v>
      </c>
      <c r="E53" s="40">
        <f>+D53*C53*B53</f>
        <v>6000</v>
      </c>
    </row>
    <row r="54" spans="1:5">
      <c r="A54" s="37" t="s">
        <v>197</v>
      </c>
      <c r="B54" s="39">
        <v>4</v>
      </c>
      <c r="C54" s="39">
        <v>6</v>
      </c>
      <c r="D54" s="40">
        <v>1200</v>
      </c>
      <c r="E54" s="40">
        <f>+D54*C54*B54</f>
        <v>28800</v>
      </c>
    </row>
    <row r="55" spans="1:5">
      <c r="A55" s="41" t="s">
        <v>199</v>
      </c>
      <c r="B55" s="370"/>
      <c r="C55" s="371"/>
      <c r="D55" s="372"/>
      <c r="E55" s="51">
        <f>+E54+E53</f>
        <v>34800</v>
      </c>
    </row>
    <row r="56" spans="1:5">
      <c r="A56" s="374" t="s">
        <v>296</v>
      </c>
      <c r="B56" s="375"/>
      <c r="C56" s="375"/>
      <c r="D56" s="375"/>
      <c r="E56" s="376"/>
    </row>
    <row r="57" spans="1:5">
      <c r="A57" s="37" t="s">
        <v>196</v>
      </c>
      <c r="B57" s="39">
        <v>2</v>
      </c>
      <c r="C57" s="39">
        <v>1</v>
      </c>
      <c r="D57" s="40">
        <v>1250</v>
      </c>
      <c r="E57" s="40">
        <f>+D57*C57*B57</f>
        <v>2500</v>
      </c>
    </row>
    <row r="58" spans="1:5">
      <c r="A58" s="37" t="s">
        <v>197</v>
      </c>
      <c r="B58" s="39">
        <v>2</v>
      </c>
      <c r="C58" s="39">
        <v>9</v>
      </c>
      <c r="D58" s="40">
        <v>1125</v>
      </c>
      <c r="E58" s="40">
        <f>+D58*C58*B58</f>
        <v>20250</v>
      </c>
    </row>
    <row r="59" spans="1:5">
      <c r="A59" s="37" t="s">
        <v>297</v>
      </c>
      <c r="B59" s="39">
        <v>2</v>
      </c>
      <c r="C59" s="39">
        <v>1</v>
      </c>
      <c r="D59" s="40">
        <v>1000</v>
      </c>
      <c r="E59" s="40">
        <f t="shared" ref="E59:E60" si="0">+D59*C59*B59</f>
        <v>2000</v>
      </c>
    </row>
    <row r="60" spans="1:5">
      <c r="A60" s="37" t="s">
        <v>298</v>
      </c>
      <c r="B60" s="39">
        <v>2</v>
      </c>
      <c r="C60" s="39">
        <v>1</v>
      </c>
      <c r="D60" s="40">
        <v>1000</v>
      </c>
      <c r="E60" s="40">
        <f t="shared" si="0"/>
        <v>2000</v>
      </c>
    </row>
    <row r="61" spans="1:5">
      <c r="A61" s="41" t="s">
        <v>199</v>
      </c>
      <c r="B61" s="370"/>
      <c r="C61" s="371"/>
      <c r="D61" s="372"/>
      <c r="E61" s="51">
        <f>+E57+E58+E59+E60</f>
        <v>26750</v>
      </c>
    </row>
    <row r="63" spans="1:5">
      <c r="A63" s="28" t="s">
        <v>462</v>
      </c>
    </row>
    <row r="64" spans="1:5">
      <c r="A64" s="361" t="s">
        <v>461</v>
      </c>
      <c r="B64" s="362"/>
      <c r="C64" s="362"/>
      <c r="D64" s="362"/>
      <c r="E64" s="363"/>
    </row>
    <row r="65" spans="1:5">
      <c r="A65" s="37" t="s">
        <v>196</v>
      </c>
      <c r="B65" s="39">
        <v>10</v>
      </c>
      <c r="C65" s="39">
        <v>1</v>
      </c>
      <c r="D65" s="40">
        <v>1250</v>
      </c>
      <c r="E65" s="40">
        <f>+D65*C65*B65</f>
        <v>12500</v>
      </c>
    </row>
    <row r="66" spans="1:5">
      <c r="A66" s="37" t="s">
        <v>464</v>
      </c>
      <c r="B66" s="39">
        <v>10</v>
      </c>
      <c r="C66" s="39">
        <v>2</v>
      </c>
      <c r="D66" s="40">
        <v>1125</v>
      </c>
      <c r="E66" s="40">
        <f t="shared" ref="E66:E67" si="1">+D66*C66*B66</f>
        <v>22500</v>
      </c>
    </row>
    <row r="67" spans="1:5">
      <c r="A67" s="37" t="s">
        <v>465</v>
      </c>
      <c r="B67" s="39">
        <v>10</v>
      </c>
      <c r="C67" s="39">
        <v>37</v>
      </c>
      <c r="D67" s="40">
        <v>1000</v>
      </c>
      <c r="E67" s="40">
        <f t="shared" si="1"/>
        <v>370000</v>
      </c>
    </row>
    <row r="68" spans="1:5">
      <c r="A68" s="41" t="s">
        <v>199</v>
      </c>
      <c r="B68" s="370"/>
      <c r="C68" s="371"/>
      <c r="D68" s="372"/>
      <c r="E68" s="51">
        <f>+E67+E65</f>
        <v>382500</v>
      </c>
    </row>
    <row r="70" spans="1:5">
      <c r="A70" s="83" t="s">
        <v>522</v>
      </c>
      <c r="E70" s="31">
        <f>+E75+E80+E85+E90+E95+E100+E103</f>
        <v>421600</v>
      </c>
    </row>
    <row r="71" spans="1:5">
      <c r="A71" s="361" t="s">
        <v>523</v>
      </c>
      <c r="B71" s="362"/>
      <c r="C71" s="362"/>
      <c r="D71" s="362"/>
      <c r="E71" s="363"/>
    </row>
    <row r="72" spans="1:5">
      <c r="A72" s="37" t="s">
        <v>196</v>
      </c>
      <c r="B72" s="39">
        <v>2</v>
      </c>
      <c r="C72" s="39">
        <v>1</v>
      </c>
      <c r="D72" s="40">
        <v>2000</v>
      </c>
      <c r="E72" s="40">
        <f>+D72*C72*B72</f>
        <v>4000</v>
      </c>
    </row>
    <row r="73" spans="1:5">
      <c r="A73" s="37" t="s">
        <v>464</v>
      </c>
      <c r="B73" s="39">
        <v>2</v>
      </c>
      <c r="C73" s="39">
        <v>2</v>
      </c>
      <c r="D73" s="40">
        <v>1800</v>
      </c>
      <c r="E73" s="40">
        <f t="shared" ref="E73:E74" si="2">+D73*C73*B73</f>
        <v>7200</v>
      </c>
    </row>
    <row r="74" spans="1:5">
      <c r="A74" s="37" t="s">
        <v>197</v>
      </c>
      <c r="B74" s="39">
        <v>2</v>
      </c>
      <c r="C74" s="39">
        <v>23</v>
      </c>
      <c r="D74" s="40">
        <v>1600</v>
      </c>
      <c r="E74" s="40">
        <f t="shared" si="2"/>
        <v>73600</v>
      </c>
    </row>
    <row r="75" spans="1:5">
      <c r="A75" s="41" t="s">
        <v>199</v>
      </c>
      <c r="B75" s="370"/>
      <c r="C75" s="371"/>
      <c r="D75" s="372"/>
      <c r="E75" s="51">
        <f>+E74+E72</f>
        <v>77600</v>
      </c>
    </row>
    <row r="76" spans="1:5">
      <c r="A76" s="361" t="s">
        <v>524</v>
      </c>
      <c r="B76" s="362"/>
      <c r="C76" s="362"/>
      <c r="D76" s="362"/>
      <c r="E76" s="363"/>
    </row>
    <row r="77" spans="1:5">
      <c r="A77" s="37" t="s">
        <v>196</v>
      </c>
      <c r="B77" s="39">
        <v>3</v>
      </c>
      <c r="C77" s="39">
        <v>1</v>
      </c>
      <c r="D77" s="40">
        <v>1250</v>
      </c>
      <c r="E77" s="40">
        <f>+D77*C77*B77</f>
        <v>3750</v>
      </c>
    </row>
    <row r="78" spans="1:5">
      <c r="A78" s="37" t="s">
        <v>464</v>
      </c>
      <c r="B78" s="39">
        <v>3</v>
      </c>
      <c r="C78" s="39">
        <v>1</v>
      </c>
      <c r="D78" s="40">
        <v>1125</v>
      </c>
      <c r="E78" s="40">
        <f t="shared" ref="E78:E79" si="3">+D78*C78*B78</f>
        <v>3375</v>
      </c>
    </row>
    <row r="79" spans="1:5">
      <c r="A79" s="37" t="s">
        <v>197</v>
      </c>
      <c r="B79" s="39">
        <v>3</v>
      </c>
      <c r="C79" s="39">
        <v>29</v>
      </c>
      <c r="D79" s="40">
        <v>1000</v>
      </c>
      <c r="E79" s="40">
        <f t="shared" si="3"/>
        <v>87000</v>
      </c>
    </row>
    <row r="80" spans="1:5">
      <c r="A80" s="41" t="s">
        <v>199</v>
      </c>
      <c r="B80" s="370"/>
      <c r="C80" s="371"/>
      <c r="D80" s="372"/>
      <c r="E80" s="51">
        <f>+E79+E77</f>
        <v>90750</v>
      </c>
    </row>
    <row r="81" spans="1:5">
      <c r="A81" s="361" t="s">
        <v>525</v>
      </c>
      <c r="B81" s="362"/>
      <c r="C81" s="362"/>
      <c r="D81" s="362"/>
      <c r="E81" s="363"/>
    </row>
    <row r="82" spans="1:5">
      <c r="A82" s="37" t="s">
        <v>526</v>
      </c>
      <c r="B82" s="39">
        <v>2</v>
      </c>
      <c r="C82" s="39">
        <v>13</v>
      </c>
      <c r="D82" s="40">
        <v>500</v>
      </c>
      <c r="E82" s="40">
        <f>+D82*C82*B82</f>
        <v>13000</v>
      </c>
    </row>
    <row r="83" spans="1:5">
      <c r="A83" s="37"/>
      <c r="B83" s="39"/>
      <c r="C83" s="39"/>
      <c r="D83" s="40"/>
      <c r="E83" s="40"/>
    </row>
    <row r="84" spans="1:5">
      <c r="A84" s="37" t="s">
        <v>527</v>
      </c>
      <c r="B84" s="39">
        <v>11</v>
      </c>
      <c r="C84" s="39"/>
      <c r="D84" s="40"/>
      <c r="E84" s="40">
        <f>+E82*B84</f>
        <v>143000</v>
      </c>
    </row>
    <row r="85" spans="1:5">
      <c r="A85" s="41" t="s">
        <v>199</v>
      </c>
      <c r="B85" s="370"/>
      <c r="C85" s="371"/>
      <c r="D85" s="372"/>
      <c r="E85" s="51">
        <f>+E84</f>
        <v>143000</v>
      </c>
    </row>
    <row r="86" spans="1:5">
      <c r="A86" s="361" t="s">
        <v>528</v>
      </c>
      <c r="B86" s="362"/>
      <c r="C86" s="362"/>
      <c r="D86" s="362"/>
      <c r="E86" s="363"/>
    </row>
    <row r="87" spans="1:5">
      <c r="A87" s="37" t="s">
        <v>196</v>
      </c>
      <c r="B87" s="39">
        <v>1</v>
      </c>
      <c r="C87" s="39">
        <v>1</v>
      </c>
      <c r="D87" s="40">
        <v>1250</v>
      </c>
      <c r="E87" s="40">
        <f>+D87*C87*B87</f>
        <v>1250</v>
      </c>
    </row>
    <row r="88" spans="1:5">
      <c r="A88" s="37" t="s">
        <v>464</v>
      </c>
      <c r="B88" s="39">
        <v>1</v>
      </c>
      <c r="C88" s="39">
        <v>1</v>
      </c>
      <c r="D88" s="40">
        <v>1125</v>
      </c>
      <c r="E88" s="40">
        <f t="shared" ref="E88:E89" si="4">+D88*C88*B88</f>
        <v>1125</v>
      </c>
    </row>
    <row r="89" spans="1:5">
      <c r="A89" s="37" t="s">
        <v>197</v>
      </c>
      <c r="B89" s="39">
        <v>1</v>
      </c>
      <c r="C89" s="39">
        <v>25</v>
      </c>
      <c r="D89" s="40">
        <v>1000</v>
      </c>
      <c r="E89" s="40">
        <f t="shared" si="4"/>
        <v>25000</v>
      </c>
    </row>
    <row r="90" spans="1:5">
      <c r="A90" s="41" t="s">
        <v>199</v>
      </c>
      <c r="B90" s="370"/>
      <c r="C90" s="371"/>
      <c r="D90" s="372"/>
      <c r="E90" s="51">
        <f>+E89+E87</f>
        <v>26250</v>
      </c>
    </row>
    <row r="91" spans="1:5">
      <c r="A91" s="361" t="s">
        <v>529</v>
      </c>
      <c r="B91" s="362"/>
      <c r="C91" s="362"/>
      <c r="D91" s="362"/>
      <c r="E91" s="363"/>
    </row>
    <row r="92" spans="1:5">
      <c r="A92" s="37" t="s">
        <v>196</v>
      </c>
      <c r="B92" s="39">
        <v>2</v>
      </c>
      <c r="C92" s="39">
        <v>1</v>
      </c>
      <c r="D92" s="40">
        <v>1250</v>
      </c>
      <c r="E92" s="40">
        <f>+D92*C92*B92</f>
        <v>2500</v>
      </c>
    </row>
    <row r="93" spans="1:5">
      <c r="A93" s="37" t="s">
        <v>464</v>
      </c>
      <c r="B93" s="39">
        <v>2</v>
      </c>
      <c r="C93" s="39">
        <v>1</v>
      </c>
      <c r="D93" s="40">
        <v>1125</v>
      </c>
      <c r="E93" s="40">
        <f t="shared" ref="E93:E94" si="5">+D93*C93*B93</f>
        <v>2250</v>
      </c>
    </row>
    <row r="94" spans="1:5">
      <c r="A94" s="37" t="s">
        <v>197</v>
      </c>
      <c r="B94" s="39">
        <v>2</v>
      </c>
      <c r="C94" s="39">
        <v>22</v>
      </c>
      <c r="D94" s="40">
        <v>1000</v>
      </c>
      <c r="E94" s="40">
        <f t="shared" si="5"/>
        <v>44000</v>
      </c>
    </row>
    <row r="95" spans="1:5">
      <c r="A95" s="41" t="s">
        <v>199</v>
      </c>
      <c r="B95" s="370"/>
      <c r="C95" s="371"/>
      <c r="D95" s="372"/>
      <c r="E95" s="51">
        <f>+E94+E92</f>
        <v>46500</v>
      </c>
    </row>
    <row r="96" spans="1:5">
      <c r="A96" s="361" t="s">
        <v>530</v>
      </c>
      <c r="B96" s="362"/>
      <c r="C96" s="362"/>
      <c r="D96" s="362"/>
      <c r="E96" s="363"/>
    </row>
    <row r="97" spans="1:5">
      <c r="A97" s="37" t="s">
        <v>196</v>
      </c>
      <c r="B97" s="39">
        <v>2</v>
      </c>
      <c r="C97" s="39">
        <v>1</v>
      </c>
      <c r="D97" s="40">
        <v>1250</v>
      </c>
      <c r="E97" s="40">
        <f>+D97*C97*B97</f>
        <v>2500</v>
      </c>
    </row>
    <row r="98" spans="1:5">
      <c r="A98" s="37" t="s">
        <v>464</v>
      </c>
      <c r="B98" s="39">
        <v>2</v>
      </c>
      <c r="C98" s="39">
        <v>1</v>
      </c>
      <c r="D98" s="40">
        <v>1125</v>
      </c>
      <c r="E98" s="40">
        <f t="shared" ref="E98:E99" si="6">+D98*C98*B98</f>
        <v>2250</v>
      </c>
    </row>
    <row r="99" spans="1:5">
      <c r="A99" s="37" t="s">
        <v>197</v>
      </c>
      <c r="B99" s="39">
        <v>2</v>
      </c>
      <c r="C99" s="39">
        <v>16</v>
      </c>
      <c r="D99" s="40">
        <v>1000</v>
      </c>
      <c r="E99" s="40">
        <f t="shared" si="6"/>
        <v>32000</v>
      </c>
    </row>
    <row r="100" spans="1:5">
      <c r="A100" s="41" t="s">
        <v>199</v>
      </c>
      <c r="B100" s="370"/>
      <c r="C100" s="371"/>
      <c r="D100" s="372"/>
      <c r="E100" s="51">
        <f>+E99+E97</f>
        <v>34500</v>
      </c>
    </row>
    <row r="101" spans="1:5">
      <c r="A101" s="361" t="s">
        <v>531</v>
      </c>
      <c r="B101" s="362"/>
      <c r="C101" s="362"/>
      <c r="D101" s="362"/>
      <c r="E101" s="363"/>
    </row>
    <row r="102" spans="1:5">
      <c r="A102" s="37" t="s">
        <v>526</v>
      </c>
      <c r="B102" s="39">
        <v>2</v>
      </c>
      <c r="C102" s="39">
        <v>3</v>
      </c>
      <c r="D102" s="40">
        <v>500</v>
      </c>
      <c r="E102" s="40">
        <f>+D102*C102*B102</f>
        <v>3000</v>
      </c>
    </row>
    <row r="103" spans="1:5">
      <c r="A103" s="41" t="s">
        <v>199</v>
      </c>
      <c r="B103" s="370"/>
      <c r="C103" s="371"/>
      <c r="D103" s="372"/>
      <c r="E103" s="51">
        <f>+E102</f>
        <v>3000</v>
      </c>
    </row>
    <row r="105" spans="1:5">
      <c r="A105" s="83" t="s">
        <v>572</v>
      </c>
    </row>
    <row r="106" spans="1:5">
      <c r="A106" s="361" t="s">
        <v>573</v>
      </c>
      <c r="B106" s="362"/>
      <c r="C106" s="362"/>
      <c r="D106" s="362"/>
      <c r="E106" s="363"/>
    </row>
    <row r="107" spans="1:5">
      <c r="A107" s="37" t="s">
        <v>196</v>
      </c>
      <c r="B107" s="39">
        <v>11</v>
      </c>
      <c r="C107" s="39">
        <v>1</v>
      </c>
      <c r="D107" s="40">
        <v>2000</v>
      </c>
      <c r="E107" s="40">
        <f>+D107*C107*B107</f>
        <v>22000</v>
      </c>
    </row>
    <row r="108" spans="1:5">
      <c r="A108" s="37" t="s">
        <v>197</v>
      </c>
      <c r="B108" s="39">
        <v>11</v>
      </c>
      <c r="C108" s="39">
        <v>8</v>
      </c>
      <c r="D108" s="40">
        <v>1600</v>
      </c>
      <c r="E108" s="40">
        <f t="shared" ref="E108" si="7">+D108*C108*B108</f>
        <v>140800</v>
      </c>
    </row>
    <row r="109" spans="1:5">
      <c r="A109" s="41" t="s">
        <v>199</v>
      </c>
      <c r="B109" s="370"/>
      <c r="C109" s="371"/>
      <c r="D109" s="372"/>
      <c r="E109" s="51">
        <f>+E108+E107</f>
        <v>162800</v>
      </c>
    </row>
    <row r="110" spans="1:5">
      <c r="A110" s="361" t="s">
        <v>574</v>
      </c>
      <c r="B110" s="362"/>
      <c r="C110" s="362"/>
      <c r="D110" s="362"/>
      <c r="E110" s="363"/>
    </row>
    <row r="111" spans="1:5">
      <c r="A111" s="37" t="s">
        <v>196</v>
      </c>
      <c r="B111" s="39">
        <v>11</v>
      </c>
      <c r="C111" s="39">
        <v>1</v>
      </c>
      <c r="D111" s="40">
        <v>1250</v>
      </c>
      <c r="E111" s="40">
        <f>+D111*C111*B111</f>
        <v>13750</v>
      </c>
    </row>
    <row r="112" spans="1:5">
      <c r="A112" s="37" t="s">
        <v>464</v>
      </c>
      <c r="B112" s="39">
        <v>11</v>
      </c>
      <c r="C112" s="39">
        <v>1</v>
      </c>
      <c r="D112" s="40">
        <v>1125</v>
      </c>
      <c r="E112" s="40">
        <f>+D112*C112*B112</f>
        <v>12375</v>
      </c>
    </row>
    <row r="113" spans="1:5">
      <c r="A113" s="37" t="s">
        <v>197</v>
      </c>
      <c r="B113" s="39">
        <v>11</v>
      </c>
      <c r="C113" s="39">
        <v>14</v>
      </c>
      <c r="D113" s="40">
        <v>1000</v>
      </c>
      <c r="E113" s="40">
        <f t="shared" ref="E113" si="8">+D113*C113*B113</f>
        <v>154000</v>
      </c>
    </row>
    <row r="114" spans="1:5">
      <c r="A114" s="41" t="s">
        <v>199</v>
      </c>
      <c r="B114" s="370"/>
      <c r="C114" s="371"/>
      <c r="D114" s="372"/>
      <c r="E114" s="51">
        <f>+E113+E112+E111</f>
        <v>180125</v>
      </c>
    </row>
    <row r="115" spans="1:5">
      <c r="A115" s="361" t="s">
        <v>575</v>
      </c>
      <c r="B115" s="362"/>
      <c r="C115" s="362"/>
      <c r="D115" s="362"/>
      <c r="E115" s="363"/>
    </row>
    <row r="116" spans="1:5">
      <c r="A116" s="37" t="s">
        <v>196</v>
      </c>
      <c r="B116" s="39">
        <v>4</v>
      </c>
      <c r="C116" s="39">
        <v>1</v>
      </c>
      <c r="D116" s="40">
        <v>1250</v>
      </c>
      <c r="E116" s="40">
        <f>+D116*C116*B116</f>
        <v>5000</v>
      </c>
    </row>
    <row r="117" spans="1:5">
      <c r="A117" s="37" t="s">
        <v>197</v>
      </c>
      <c r="B117" s="39">
        <v>4</v>
      </c>
      <c r="C117" s="39">
        <v>4</v>
      </c>
      <c r="D117" s="40">
        <v>1000</v>
      </c>
      <c r="E117" s="40">
        <f>+D117*C117*B117</f>
        <v>16000</v>
      </c>
    </row>
    <row r="118" spans="1:5">
      <c r="A118" s="41" t="s">
        <v>199</v>
      </c>
      <c r="B118" s="370"/>
      <c r="C118" s="371"/>
      <c r="D118" s="372"/>
      <c r="E118" s="51">
        <f>+E117+E116</f>
        <v>21000</v>
      </c>
    </row>
    <row r="119" spans="1:5">
      <c r="A119" s="361" t="s">
        <v>576</v>
      </c>
      <c r="B119" s="362"/>
      <c r="C119" s="362"/>
      <c r="D119" s="362"/>
      <c r="E119" s="363"/>
    </row>
    <row r="120" spans="1:5">
      <c r="A120" s="37" t="s">
        <v>196</v>
      </c>
      <c r="B120" s="39">
        <v>11</v>
      </c>
      <c r="C120" s="39">
        <v>1</v>
      </c>
      <c r="D120" s="40">
        <v>1250</v>
      </c>
      <c r="E120" s="40">
        <f>+D120*C120*B120</f>
        <v>13750</v>
      </c>
    </row>
    <row r="121" spans="1:5">
      <c r="A121" s="37" t="s">
        <v>197</v>
      </c>
      <c r="B121" s="39">
        <v>11</v>
      </c>
      <c r="C121" s="39">
        <v>9</v>
      </c>
      <c r="D121" s="40">
        <v>1000</v>
      </c>
      <c r="E121" s="40">
        <f t="shared" ref="E121" si="9">+D121*C121*B121</f>
        <v>99000</v>
      </c>
    </row>
    <row r="122" spans="1:5">
      <c r="A122" s="42" t="s">
        <v>199</v>
      </c>
      <c r="B122" s="364" t="s">
        <v>577</v>
      </c>
      <c r="C122" s="365"/>
      <c r="D122" s="366"/>
      <c r="E122" s="52">
        <f>+E120+E121</f>
        <v>112750</v>
      </c>
    </row>
    <row r="123" spans="1:5">
      <c r="A123" s="367" t="s">
        <v>0</v>
      </c>
      <c r="B123" s="368"/>
      <c r="C123" s="368"/>
      <c r="D123" s="369"/>
      <c r="E123" s="30">
        <f>+E122*76</f>
        <v>8569000</v>
      </c>
    </row>
    <row r="124" spans="1:5">
      <c r="E124" s="31">
        <f>+E123+E118+E114++E109</f>
        <v>8932925</v>
      </c>
    </row>
    <row r="125" spans="1:5">
      <c r="A125" s="28" t="s">
        <v>610</v>
      </c>
    </row>
    <row r="126" spans="1:5">
      <c r="A126" s="37" t="s">
        <v>196</v>
      </c>
      <c r="B126" s="39">
        <v>2</v>
      </c>
      <c r="C126" s="39">
        <v>1</v>
      </c>
      <c r="D126" s="40">
        <v>1250</v>
      </c>
      <c r="E126" s="40">
        <f>+D126*C126*B126</f>
        <v>2500</v>
      </c>
    </row>
    <row r="127" spans="1:5">
      <c r="A127" s="37" t="s">
        <v>464</v>
      </c>
      <c r="B127" s="39">
        <v>2</v>
      </c>
      <c r="C127" s="39">
        <v>3</v>
      </c>
      <c r="D127" s="40">
        <v>1125</v>
      </c>
      <c r="E127" s="40">
        <f>+D127*C127*B127</f>
        <v>6750</v>
      </c>
    </row>
    <row r="128" spans="1:5">
      <c r="A128" s="37" t="s">
        <v>197</v>
      </c>
      <c r="B128" s="39">
        <v>2</v>
      </c>
      <c r="C128" s="39">
        <v>56</v>
      </c>
      <c r="D128" s="40">
        <v>1000</v>
      </c>
      <c r="E128" s="40">
        <f t="shared" ref="E128" si="10">+D128*C128*B128</f>
        <v>112000</v>
      </c>
    </row>
    <row r="129" spans="1:5">
      <c r="A129" s="41" t="s">
        <v>199</v>
      </c>
      <c r="B129" s="370"/>
      <c r="C129" s="371"/>
      <c r="D129" s="372"/>
      <c r="E129" s="51">
        <f>+E128+E127+E126</f>
        <v>121250</v>
      </c>
    </row>
  </sheetData>
  <mergeCells count="48">
    <mergeCell ref="A3:E3"/>
    <mergeCell ref="B7:D7"/>
    <mergeCell ref="B12:D12"/>
    <mergeCell ref="B17:D17"/>
    <mergeCell ref="B18:D18"/>
    <mergeCell ref="B23:D23"/>
    <mergeCell ref="B24:D24"/>
    <mergeCell ref="B28:D28"/>
    <mergeCell ref="A30:D30"/>
    <mergeCell ref="B47:D47"/>
    <mergeCell ref="A49:D49"/>
    <mergeCell ref="A34:E34"/>
    <mergeCell ref="B38:D38"/>
    <mergeCell ref="A35:E35"/>
    <mergeCell ref="A39:E39"/>
    <mergeCell ref="B42:D42"/>
    <mergeCell ref="A44:E44"/>
    <mergeCell ref="A64:E64"/>
    <mergeCell ref="B68:D68"/>
    <mergeCell ref="A51:E51"/>
    <mergeCell ref="A52:E52"/>
    <mergeCell ref="B55:D55"/>
    <mergeCell ref="A56:E56"/>
    <mergeCell ref="B61:D61"/>
    <mergeCell ref="A71:E71"/>
    <mergeCell ref="B75:D75"/>
    <mergeCell ref="A76:E76"/>
    <mergeCell ref="B80:D80"/>
    <mergeCell ref="A81:E81"/>
    <mergeCell ref="B85:D85"/>
    <mergeCell ref="A86:E86"/>
    <mergeCell ref="B90:D90"/>
    <mergeCell ref="A91:E91"/>
    <mergeCell ref="B95:D95"/>
    <mergeCell ref="A96:E96"/>
    <mergeCell ref="B100:D100"/>
    <mergeCell ref="A101:E101"/>
    <mergeCell ref="B103:D103"/>
    <mergeCell ref="A106:E106"/>
    <mergeCell ref="A119:E119"/>
    <mergeCell ref="B122:D122"/>
    <mergeCell ref="A123:D123"/>
    <mergeCell ref="B129:D129"/>
    <mergeCell ref="B109:D109"/>
    <mergeCell ref="A110:E110"/>
    <mergeCell ref="B114:D114"/>
    <mergeCell ref="A115:E115"/>
    <mergeCell ref="B118:D11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5" sqref="H25"/>
    </sheetView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activeCell="G15" sqref="G15"/>
    </sheetView>
  </sheetViews>
  <sheetFormatPr defaultRowHeight="21"/>
  <cols>
    <col min="1" max="16384" width="9" style="26"/>
  </cols>
  <sheetData>
    <row r="1" spans="1:5">
      <c r="A1" s="55" t="s">
        <v>243</v>
      </c>
      <c r="B1" s="55"/>
      <c r="C1" s="55"/>
      <c r="D1" s="55"/>
      <c r="E1" s="5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6"/>
  <sheetViews>
    <sheetView topLeftCell="A20" workbookViewId="0">
      <selection activeCell="F31" sqref="F31"/>
    </sheetView>
  </sheetViews>
  <sheetFormatPr defaultRowHeight="21"/>
  <cols>
    <col min="1" max="1" width="5.875" style="26" customWidth="1"/>
    <col min="2" max="2" width="23.875" style="26" customWidth="1"/>
    <col min="3" max="3" width="10.75" style="26" customWidth="1"/>
    <col min="4" max="4" width="14.375" style="60" bestFit="1" customWidth="1"/>
    <col min="5" max="16384" width="9" style="26"/>
  </cols>
  <sheetData>
    <row r="1" spans="1:4">
      <c r="A1" s="91" t="s">
        <v>251</v>
      </c>
      <c r="B1" s="91"/>
      <c r="C1" s="91"/>
      <c r="D1" s="92">
        <f>SUM(D4:D21)</f>
        <v>3420000</v>
      </c>
    </row>
    <row r="3" spans="1:4">
      <c r="A3" s="26" t="s">
        <v>252</v>
      </c>
    </row>
    <row r="4" spans="1:4">
      <c r="A4" s="57">
        <v>1</v>
      </c>
      <c r="B4" s="26" t="s">
        <v>253</v>
      </c>
      <c r="C4" s="58">
        <v>4000</v>
      </c>
      <c r="D4" s="58">
        <f>+C4*12</f>
        <v>48000</v>
      </c>
    </row>
    <row r="5" spans="1:4">
      <c r="A5" s="57">
        <f>+A4+1</f>
        <v>2</v>
      </c>
      <c r="B5" s="26" t="s">
        <v>254</v>
      </c>
      <c r="C5" s="58">
        <v>4000</v>
      </c>
      <c r="D5" s="58">
        <f t="shared" ref="D5:D12" si="0">+C5*12</f>
        <v>48000</v>
      </c>
    </row>
    <row r="6" spans="1:4">
      <c r="A6" s="57">
        <f t="shared" ref="A6:A12" si="1">+A5+1</f>
        <v>3</v>
      </c>
      <c r="B6" s="26" t="s">
        <v>255</v>
      </c>
      <c r="C6" s="58">
        <v>4000</v>
      </c>
      <c r="D6" s="58">
        <f t="shared" si="0"/>
        <v>48000</v>
      </c>
    </row>
    <row r="7" spans="1:4">
      <c r="A7" s="57">
        <f t="shared" si="1"/>
        <v>4</v>
      </c>
      <c r="B7" s="26" t="s">
        <v>256</v>
      </c>
      <c r="C7" s="58">
        <v>4000</v>
      </c>
      <c r="D7" s="58">
        <f t="shared" si="0"/>
        <v>48000</v>
      </c>
    </row>
    <row r="8" spans="1:4">
      <c r="A8" s="57">
        <f t="shared" si="1"/>
        <v>5</v>
      </c>
      <c r="B8" s="26" t="s">
        <v>257</v>
      </c>
      <c r="C8" s="58">
        <v>3300</v>
      </c>
      <c r="D8" s="58">
        <f t="shared" si="0"/>
        <v>39600</v>
      </c>
    </row>
    <row r="9" spans="1:4">
      <c r="A9" s="57">
        <f t="shared" si="1"/>
        <v>6</v>
      </c>
      <c r="B9" s="26" t="s">
        <v>258</v>
      </c>
      <c r="C9" s="58">
        <v>4000</v>
      </c>
      <c r="D9" s="58">
        <f t="shared" si="0"/>
        <v>48000</v>
      </c>
    </row>
    <row r="10" spans="1:4">
      <c r="A10" s="57">
        <f t="shared" si="1"/>
        <v>7</v>
      </c>
      <c r="B10" s="26" t="s">
        <v>259</v>
      </c>
      <c r="C10" s="58">
        <v>2200</v>
      </c>
      <c r="D10" s="58">
        <f t="shared" si="0"/>
        <v>26400</v>
      </c>
    </row>
    <row r="11" spans="1:4">
      <c r="A11" s="57">
        <f t="shared" si="1"/>
        <v>8</v>
      </c>
      <c r="B11" s="26" t="s">
        <v>260</v>
      </c>
      <c r="C11" s="58">
        <v>4000</v>
      </c>
      <c r="D11" s="58">
        <f t="shared" si="0"/>
        <v>48000</v>
      </c>
    </row>
    <row r="12" spans="1:4">
      <c r="A12" s="57">
        <f t="shared" si="1"/>
        <v>9</v>
      </c>
      <c r="B12" s="26" t="s">
        <v>261</v>
      </c>
      <c r="C12" s="58">
        <v>4000</v>
      </c>
      <c r="D12" s="58">
        <f t="shared" si="0"/>
        <v>48000</v>
      </c>
    </row>
    <row r="13" spans="1:4">
      <c r="A13" s="26">
        <v>10</v>
      </c>
      <c r="B13" s="26">
        <v>8</v>
      </c>
      <c r="C13" s="58">
        <v>4000</v>
      </c>
      <c r="D13" s="59">
        <f>+C13*B13*12</f>
        <v>384000</v>
      </c>
    </row>
    <row r="14" spans="1:4">
      <c r="D14" s="60">
        <f>SUM(D4:D13)</f>
        <v>786000</v>
      </c>
    </row>
    <row r="15" spans="1:4">
      <c r="A15" s="26" t="s">
        <v>989</v>
      </c>
    </row>
    <row r="16" spans="1:4" ht="37.5">
      <c r="B16" s="17" t="s">
        <v>985</v>
      </c>
      <c r="D16" s="58">
        <v>108000</v>
      </c>
    </row>
    <row r="17" spans="1:5" ht="37.5">
      <c r="B17" s="17" t="s">
        <v>986</v>
      </c>
      <c r="D17" s="58">
        <v>1260000</v>
      </c>
    </row>
    <row r="18" spans="1:5" ht="37.5">
      <c r="B18" s="17" t="s">
        <v>987</v>
      </c>
      <c r="D18" s="58">
        <v>480000</v>
      </c>
    </row>
    <row r="19" spans="1:5">
      <c r="D19" s="58"/>
    </row>
    <row r="20" spans="1:5">
      <c r="A20" s="26" t="s">
        <v>992</v>
      </c>
      <c r="D20" s="58"/>
    </row>
    <row r="21" spans="1:5" ht="75">
      <c r="B21" s="17" t="s">
        <v>671</v>
      </c>
      <c r="D21" s="58"/>
    </row>
    <row r="22" spans="1:5">
      <c r="E22" s="94"/>
    </row>
    <row r="23" spans="1:5">
      <c r="C23" s="26">
        <f>+C25+C26+C24</f>
        <v>16</v>
      </c>
      <c r="D23" s="93">
        <v>672000</v>
      </c>
      <c r="E23" s="26">
        <f>SUM(E24:E26)</f>
        <v>672000</v>
      </c>
    </row>
    <row r="24" spans="1:5">
      <c r="B24" s="17">
        <v>3000</v>
      </c>
      <c r="C24" s="26">
        <v>5</v>
      </c>
      <c r="D24" s="60">
        <v>12</v>
      </c>
      <c r="E24" s="26">
        <f>+D24*C24*B24</f>
        <v>180000</v>
      </c>
    </row>
    <row r="25" spans="1:5">
      <c r="B25" s="26">
        <v>3500</v>
      </c>
      <c r="C25" s="26">
        <v>6</v>
      </c>
      <c r="D25" s="60">
        <v>12</v>
      </c>
      <c r="E25" s="26">
        <f>+D25*C25*B25</f>
        <v>252000</v>
      </c>
    </row>
    <row r="26" spans="1:5">
      <c r="B26" s="26">
        <v>4000</v>
      </c>
      <c r="C26" s="26">
        <v>5</v>
      </c>
      <c r="D26" s="60">
        <v>12</v>
      </c>
      <c r="E26" s="26">
        <f>+D26*C26*B26</f>
        <v>240000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3" sqref="I13"/>
    </sheetView>
  </sheetViews>
  <sheetFormatPr defaultRowHeight="21"/>
  <cols>
    <col min="1" max="16384" width="9" style="26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15"/>
  <sheetViews>
    <sheetView topLeftCell="A13" workbookViewId="0">
      <selection activeCell="C20" sqref="C20"/>
    </sheetView>
  </sheetViews>
  <sheetFormatPr defaultColWidth="9.125" defaultRowHeight="19.5"/>
  <cols>
    <col min="1" max="1" width="32.625" style="70" customWidth="1"/>
    <col min="2" max="3" width="15.75" style="70" customWidth="1"/>
    <col min="4" max="4" width="67.75" style="70" customWidth="1"/>
    <col min="5" max="256" width="9.125" style="70"/>
    <col min="257" max="257" width="32.625" style="70" customWidth="1"/>
    <col min="258" max="259" width="15.75" style="70" customWidth="1"/>
    <col min="260" max="260" width="67.75" style="70" customWidth="1"/>
    <col min="261" max="512" width="9.125" style="70"/>
    <col min="513" max="513" width="32.625" style="70" customWidth="1"/>
    <col min="514" max="515" width="15.75" style="70" customWidth="1"/>
    <col min="516" max="516" width="67.75" style="70" customWidth="1"/>
    <col min="517" max="768" width="9.125" style="70"/>
    <col min="769" max="769" width="32.625" style="70" customWidth="1"/>
    <col min="770" max="771" width="15.75" style="70" customWidth="1"/>
    <col min="772" max="772" width="67.75" style="70" customWidth="1"/>
    <col min="773" max="1024" width="9.125" style="70"/>
    <col min="1025" max="1025" width="32.625" style="70" customWidth="1"/>
    <col min="1026" max="1027" width="15.75" style="70" customWidth="1"/>
    <col min="1028" max="1028" width="67.75" style="70" customWidth="1"/>
    <col min="1029" max="1280" width="9.125" style="70"/>
    <col min="1281" max="1281" width="32.625" style="70" customWidth="1"/>
    <col min="1282" max="1283" width="15.75" style="70" customWidth="1"/>
    <col min="1284" max="1284" width="67.75" style="70" customWidth="1"/>
    <col min="1285" max="1536" width="9.125" style="70"/>
    <col min="1537" max="1537" width="32.625" style="70" customWidth="1"/>
    <col min="1538" max="1539" width="15.75" style="70" customWidth="1"/>
    <col min="1540" max="1540" width="67.75" style="70" customWidth="1"/>
    <col min="1541" max="1792" width="9.125" style="70"/>
    <col min="1793" max="1793" width="32.625" style="70" customWidth="1"/>
    <col min="1794" max="1795" width="15.75" style="70" customWidth="1"/>
    <col min="1796" max="1796" width="67.75" style="70" customWidth="1"/>
    <col min="1797" max="2048" width="9.125" style="70"/>
    <col min="2049" max="2049" width="32.625" style="70" customWidth="1"/>
    <col min="2050" max="2051" width="15.75" style="70" customWidth="1"/>
    <col min="2052" max="2052" width="67.75" style="70" customWidth="1"/>
    <col min="2053" max="2304" width="9.125" style="70"/>
    <col min="2305" max="2305" width="32.625" style="70" customWidth="1"/>
    <col min="2306" max="2307" width="15.75" style="70" customWidth="1"/>
    <col min="2308" max="2308" width="67.75" style="70" customWidth="1"/>
    <col min="2309" max="2560" width="9.125" style="70"/>
    <col min="2561" max="2561" width="32.625" style="70" customWidth="1"/>
    <col min="2562" max="2563" width="15.75" style="70" customWidth="1"/>
    <col min="2564" max="2564" width="67.75" style="70" customWidth="1"/>
    <col min="2565" max="2816" width="9.125" style="70"/>
    <col min="2817" max="2817" width="32.625" style="70" customWidth="1"/>
    <col min="2818" max="2819" width="15.75" style="70" customWidth="1"/>
    <col min="2820" max="2820" width="67.75" style="70" customWidth="1"/>
    <col min="2821" max="3072" width="9.125" style="70"/>
    <col min="3073" max="3073" width="32.625" style="70" customWidth="1"/>
    <col min="3074" max="3075" width="15.75" style="70" customWidth="1"/>
    <col min="3076" max="3076" width="67.75" style="70" customWidth="1"/>
    <col min="3077" max="3328" width="9.125" style="70"/>
    <col min="3329" max="3329" width="32.625" style="70" customWidth="1"/>
    <col min="3330" max="3331" width="15.75" style="70" customWidth="1"/>
    <col min="3332" max="3332" width="67.75" style="70" customWidth="1"/>
    <col min="3333" max="3584" width="9.125" style="70"/>
    <col min="3585" max="3585" width="32.625" style="70" customWidth="1"/>
    <col min="3586" max="3587" width="15.75" style="70" customWidth="1"/>
    <col min="3588" max="3588" width="67.75" style="70" customWidth="1"/>
    <col min="3589" max="3840" width="9.125" style="70"/>
    <col min="3841" max="3841" width="32.625" style="70" customWidth="1"/>
    <col min="3842" max="3843" width="15.75" style="70" customWidth="1"/>
    <col min="3844" max="3844" width="67.75" style="70" customWidth="1"/>
    <col min="3845" max="4096" width="9.125" style="70"/>
    <col min="4097" max="4097" width="32.625" style="70" customWidth="1"/>
    <col min="4098" max="4099" width="15.75" style="70" customWidth="1"/>
    <col min="4100" max="4100" width="67.75" style="70" customWidth="1"/>
    <col min="4101" max="4352" width="9.125" style="70"/>
    <col min="4353" max="4353" width="32.625" style="70" customWidth="1"/>
    <col min="4354" max="4355" width="15.75" style="70" customWidth="1"/>
    <col min="4356" max="4356" width="67.75" style="70" customWidth="1"/>
    <col min="4357" max="4608" width="9.125" style="70"/>
    <col min="4609" max="4609" width="32.625" style="70" customWidth="1"/>
    <col min="4610" max="4611" width="15.75" style="70" customWidth="1"/>
    <col min="4612" max="4612" width="67.75" style="70" customWidth="1"/>
    <col min="4613" max="4864" width="9.125" style="70"/>
    <col min="4865" max="4865" width="32.625" style="70" customWidth="1"/>
    <col min="4866" max="4867" width="15.75" style="70" customWidth="1"/>
    <col min="4868" max="4868" width="67.75" style="70" customWidth="1"/>
    <col min="4869" max="5120" width="9.125" style="70"/>
    <col min="5121" max="5121" width="32.625" style="70" customWidth="1"/>
    <col min="5122" max="5123" width="15.75" style="70" customWidth="1"/>
    <col min="5124" max="5124" width="67.75" style="70" customWidth="1"/>
    <col min="5125" max="5376" width="9.125" style="70"/>
    <col min="5377" max="5377" width="32.625" style="70" customWidth="1"/>
    <col min="5378" max="5379" width="15.75" style="70" customWidth="1"/>
    <col min="5380" max="5380" width="67.75" style="70" customWidth="1"/>
    <col min="5381" max="5632" width="9.125" style="70"/>
    <col min="5633" max="5633" width="32.625" style="70" customWidth="1"/>
    <col min="5634" max="5635" width="15.75" style="70" customWidth="1"/>
    <col min="5636" max="5636" width="67.75" style="70" customWidth="1"/>
    <col min="5637" max="5888" width="9.125" style="70"/>
    <col min="5889" max="5889" width="32.625" style="70" customWidth="1"/>
    <col min="5890" max="5891" width="15.75" style="70" customWidth="1"/>
    <col min="5892" max="5892" width="67.75" style="70" customWidth="1"/>
    <col min="5893" max="6144" width="9.125" style="70"/>
    <col min="6145" max="6145" width="32.625" style="70" customWidth="1"/>
    <col min="6146" max="6147" width="15.75" style="70" customWidth="1"/>
    <col min="6148" max="6148" width="67.75" style="70" customWidth="1"/>
    <col min="6149" max="6400" width="9.125" style="70"/>
    <col min="6401" max="6401" width="32.625" style="70" customWidth="1"/>
    <col min="6402" max="6403" width="15.75" style="70" customWidth="1"/>
    <col min="6404" max="6404" width="67.75" style="70" customWidth="1"/>
    <col min="6405" max="6656" width="9.125" style="70"/>
    <col min="6657" max="6657" width="32.625" style="70" customWidth="1"/>
    <col min="6658" max="6659" width="15.75" style="70" customWidth="1"/>
    <col min="6660" max="6660" width="67.75" style="70" customWidth="1"/>
    <col min="6661" max="6912" width="9.125" style="70"/>
    <col min="6913" max="6913" width="32.625" style="70" customWidth="1"/>
    <col min="6914" max="6915" width="15.75" style="70" customWidth="1"/>
    <col min="6916" max="6916" width="67.75" style="70" customWidth="1"/>
    <col min="6917" max="7168" width="9.125" style="70"/>
    <col min="7169" max="7169" width="32.625" style="70" customWidth="1"/>
    <col min="7170" max="7171" width="15.75" style="70" customWidth="1"/>
    <col min="7172" max="7172" width="67.75" style="70" customWidth="1"/>
    <col min="7173" max="7424" width="9.125" style="70"/>
    <col min="7425" max="7425" width="32.625" style="70" customWidth="1"/>
    <col min="7426" max="7427" width="15.75" style="70" customWidth="1"/>
    <col min="7428" max="7428" width="67.75" style="70" customWidth="1"/>
    <col min="7429" max="7680" width="9.125" style="70"/>
    <col min="7681" max="7681" width="32.625" style="70" customWidth="1"/>
    <col min="7682" max="7683" width="15.75" style="70" customWidth="1"/>
    <col min="7684" max="7684" width="67.75" style="70" customWidth="1"/>
    <col min="7685" max="7936" width="9.125" style="70"/>
    <col min="7937" max="7937" width="32.625" style="70" customWidth="1"/>
    <col min="7938" max="7939" width="15.75" style="70" customWidth="1"/>
    <col min="7940" max="7940" width="67.75" style="70" customWidth="1"/>
    <col min="7941" max="8192" width="9.125" style="70"/>
    <col min="8193" max="8193" width="32.625" style="70" customWidth="1"/>
    <col min="8194" max="8195" width="15.75" style="70" customWidth="1"/>
    <col min="8196" max="8196" width="67.75" style="70" customWidth="1"/>
    <col min="8197" max="8448" width="9.125" style="70"/>
    <col min="8449" max="8449" width="32.625" style="70" customWidth="1"/>
    <col min="8450" max="8451" width="15.75" style="70" customWidth="1"/>
    <col min="8452" max="8452" width="67.75" style="70" customWidth="1"/>
    <col min="8453" max="8704" width="9.125" style="70"/>
    <col min="8705" max="8705" width="32.625" style="70" customWidth="1"/>
    <col min="8706" max="8707" width="15.75" style="70" customWidth="1"/>
    <col min="8708" max="8708" width="67.75" style="70" customWidth="1"/>
    <col min="8709" max="8960" width="9.125" style="70"/>
    <col min="8961" max="8961" width="32.625" style="70" customWidth="1"/>
    <col min="8962" max="8963" width="15.75" style="70" customWidth="1"/>
    <col min="8964" max="8964" width="67.75" style="70" customWidth="1"/>
    <col min="8965" max="9216" width="9.125" style="70"/>
    <col min="9217" max="9217" width="32.625" style="70" customWidth="1"/>
    <col min="9218" max="9219" width="15.75" style="70" customWidth="1"/>
    <col min="9220" max="9220" width="67.75" style="70" customWidth="1"/>
    <col min="9221" max="9472" width="9.125" style="70"/>
    <col min="9473" max="9473" width="32.625" style="70" customWidth="1"/>
    <col min="9474" max="9475" width="15.75" style="70" customWidth="1"/>
    <col min="9476" max="9476" width="67.75" style="70" customWidth="1"/>
    <col min="9477" max="9728" width="9.125" style="70"/>
    <col min="9729" max="9729" width="32.625" style="70" customWidth="1"/>
    <col min="9730" max="9731" width="15.75" style="70" customWidth="1"/>
    <col min="9732" max="9732" width="67.75" style="70" customWidth="1"/>
    <col min="9733" max="9984" width="9.125" style="70"/>
    <col min="9985" max="9985" width="32.625" style="70" customWidth="1"/>
    <col min="9986" max="9987" width="15.75" style="70" customWidth="1"/>
    <col min="9988" max="9988" width="67.75" style="70" customWidth="1"/>
    <col min="9989" max="10240" width="9.125" style="70"/>
    <col min="10241" max="10241" width="32.625" style="70" customWidth="1"/>
    <col min="10242" max="10243" width="15.75" style="70" customWidth="1"/>
    <col min="10244" max="10244" width="67.75" style="70" customWidth="1"/>
    <col min="10245" max="10496" width="9.125" style="70"/>
    <col min="10497" max="10497" width="32.625" style="70" customWidth="1"/>
    <col min="10498" max="10499" width="15.75" style="70" customWidth="1"/>
    <col min="10500" max="10500" width="67.75" style="70" customWidth="1"/>
    <col min="10501" max="10752" width="9.125" style="70"/>
    <col min="10753" max="10753" width="32.625" style="70" customWidth="1"/>
    <col min="10754" max="10755" width="15.75" style="70" customWidth="1"/>
    <col min="10756" max="10756" width="67.75" style="70" customWidth="1"/>
    <col min="10757" max="11008" width="9.125" style="70"/>
    <col min="11009" max="11009" width="32.625" style="70" customWidth="1"/>
    <col min="11010" max="11011" width="15.75" style="70" customWidth="1"/>
    <col min="11012" max="11012" width="67.75" style="70" customWidth="1"/>
    <col min="11013" max="11264" width="9.125" style="70"/>
    <col min="11265" max="11265" width="32.625" style="70" customWidth="1"/>
    <col min="11266" max="11267" width="15.75" style="70" customWidth="1"/>
    <col min="11268" max="11268" width="67.75" style="70" customWidth="1"/>
    <col min="11269" max="11520" width="9.125" style="70"/>
    <col min="11521" max="11521" width="32.625" style="70" customWidth="1"/>
    <col min="11522" max="11523" width="15.75" style="70" customWidth="1"/>
    <col min="11524" max="11524" width="67.75" style="70" customWidth="1"/>
    <col min="11525" max="11776" width="9.125" style="70"/>
    <col min="11777" max="11777" width="32.625" style="70" customWidth="1"/>
    <col min="11778" max="11779" width="15.75" style="70" customWidth="1"/>
    <col min="11780" max="11780" width="67.75" style="70" customWidth="1"/>
    <col min="11781" max="12032" width="9.125" style="70"/>
    <col min="12033" max="12033" width="32.625" style="70" customWidth="1"/>
    <col min="12034" max="12035" width="15.75" style="70" customWidth="1"/>
    <col min="12036" max="12036" width="67.75" style="70" customWidth="1"/>
    <col min="12037" max="12288" width="9.125" style="70"/>
    <col min="12289" max="12289" width="32.625" style="70" customWidth="1"/>
    <col min="12290" max="12291" width="15.75" style="70" customWidth="1"/>
    <col min="12292" max="12292" width="67.75" style="70" customWidth="1"/>
    <col min="12293" max="12544" width="9.125" style="70"/>
    <col min="12545" max="12545" width="32.625" style="70" customWidth="1"/>
    <col min="12546" max="12547" width="15.75" style="70" customWidth="1"/>
    <col min="12548" max="12548" width="67.75" style="70" customWidth="1"/>
    <col min="12549" max="12800" width="9.125" style="70"/>
    <col min="12801" max="12801" width="32.625" style="70" customWidth="1"/>
    <col min="12802" max="12803" width="15.75" style="70" customWidth="1"/>
    <col min="12804" max="12804" width="67.75" style="70" customWidth="1"/>
    <col min="12805" max="13056" width="9.125" style="70"/>
    <col min="13057" max="13057" width="32.625" style="70" customWidth="1"/>
    <col min="13058" max="13059" width="15.75" style="70" customWidth="1"/>
    <col min="13060" max="13060" width="67.75" style="70" customWidth="1"/>
    <col min="13061" max="13312" width="9.125" style="70"/>
    <col min="13313" max="13313" width="32.625" style="70" customWidth="1"/>
    <col min="13314" max="13315" width="15.75" style="70" customWidth="1"/>
    <col min="13316" max="13316" width="67.75" style="70" customWidth="1"/>
    <col min="13317" max="13568" width="9.125" style="70"/>
    <col min="13569" max="13569" width="32.625" style="70" customWidth="1"/>
    <col min="13570" max="13571" width="15.75" style="70" customWidth="1"/>
    <col min="13572" max="13572" width="67.75" style="70" customWidth="1"/>
    <col min="13573" max="13824" width="9.125" style="70"/>
    <col min="13825" max="13825" width="32.625" style="70" customWidth="1"/>
    <col min="13826" max="13827" width="15.75" style="70" customWidth="1"/>
    <col min="13828" max="13828" width="67.75" style="70" customWidth="1"/>
    <col min="13829" max="14080" width="9.125" style="70"/>
    <col min="14081" max="14081" width="32.625" style="70" customWidth="1"/>
    <col min="14082" max="14083" width="15.75" style="70" customWidth="1"/>
    <col min="14084" max="14084" width="67.75" style="70" customWidth="1"/>
    <col min="14085" max="14336" width="9.125" style="70"/>
    <col min="14337" max="14337" width="32.625" style="70" customWidth="1"/>
    <col min="14338" max="14339" width="15.75" style="70" customWidth="1"/>
    <col min="14340" max="14340" width="67.75" style="70" customWidth="1"/>
    <col min="14341" max="14592" width="9.125" style="70"/>
    <col min="14593" max="14593" width="32.625" style="70" customWidth="1"/>
    <col min="14594" max="14595" width="15.75" style="70" customWidth="1"/>
    <col min="14596" max="14596" width="67.75" style="70" customWidth="1"/>
    <col min="14597" max="14848" width="9.125" style="70"/>
    <col min="14849" max="14849" width="32.625" style="70" customWidth="1"/>
    <col min="14850" max="14851" width="15.75" style="70" customWidth="1"/>
    <col min="14852" max="14852" width="67.75" style="70" customWidth="1"/>
    <col min="14853" max="15104" width="9.125" style="70"/>
    <col min="15105" max="15105" width="32.625" style="70" customWidth="1"/>
    <col min="15106" max="15107" width="15.75" style="70" customWidth="1"/>
    <col min="15108" max="15108" width="67.75" style="70" customWidth="1"/>
    <col min="15109" max="15360" width="9.125" style="70"/>
    <col min="15361" max="15361" width="32.625" style="70" customWidth="1"/>
    <col min="15362" max="15363" width="15.75" style="70" customWidth="1"/>
    <col min="15364" max="15364" width="67.75" style="70" customWidth="1"/>
    <col min="15365" max="15616" width="9.125" style="70"/>
    <col min="15617" max="15617" width="32.625" style="70" customWidth="1"/>
    <col min="15618" max="15619" width="15.75" style="70" customWidth="1"/>
    <col min="15620" max="15620" width="67.75" style="70" customWidth="1"/>
    <col min="15621" max="15872" width="9.125" style="70"/>
    <col min="15873" max="15873" width="32.625" style="70" customWidth="1"/>
    <col min="15874" max="15875" width="15.75" style="70" customWidth="1"/>
    <col min="15876" max="15876" width="67.75" style="70" customWidth="1"/>
    <col min="15877" max="16128" width="9.125" style="70"/>
    <col min="16129" max="16129" width="32.625" style="70" customWidth="1"/>
    <col min="16130" max="16131" width="15.75" style="70" customWidth="1"/>
    <col min="16132" max="16132" width="67.75" style="70" customWidth="1"/>
    <col min="16133" max="16384" width="9.125" style="70"/>
  </cols>
  <sheetData>
    <row r="1" spans="1:4">
      <c r="A1" s="384" t="s">
        <v>395</v>
      </c>
      <c r="B1" s="384"/>
      <c r="C1" s="384"/>
      <c r="D1" s="384"/>
    </row>
    <row r="2" spans="1:4">
      <c r="A2" s="71"/>
    </row>
    <row r="3" spans="1:4" ht="21.75" customHeight="1">
      <c r="A3" s="74" t="s">
        <v>12</v>
      </c>
      <c r="B3" s="75" t="s">
        <v>6</v>
      </c>
      <c r="C3" s="75" t="s">
        <v>7</v>
      </c>
      <c r="D3" s="76" t="s">
        <v>11</v>
      </c>
    </row>
    <row r="4" spans="1:4" ht="21.75" customHeight="1">
      <c r="A4" s="63" t="s">
        <v>375</v>
      </c>
      <c r="B4" s="64">
        <v>113820000</v>
      </c>
      <c r="C4" s="64">
        <v>120000000</v>
      </c>
      <c r="D4" s="65" t="s">
        <v>376</v>
      </c>
    </row>
    <row r="5" spans="1:4" ht="21.75" customHeight="1">
      <c r="A5" s="63" t="s">
        <v>377</v>
      </c>
      <c r="B5" s="64"/>
      <c r="C5" s="64"/>
      <c r="D5" s="66" t="s">
        <v>378</v>
      </c>
    </row>
    <row r="6" spans="1:4" ht="21.75" customHeight="1">
      <c r="A6" s="67"/>
      <c r="B6" s="68"/>
      <c r="C6" s="68"/>
      <c r="D6" s="66" t="s">
        <v>379</v>
      </c>
    </row>
    <row r="7" spans="1:4" ht="21.75" customHeight="1">
      <c r="A7" s="67"/>
      <c r="B7" s="69"/>
      <c r="C7" s="69"/>
      <c r="D7" s="66" t="s">
        <v>380</v>
      </c>
    </row>
    <row r="8" spans="1:4" ht="21.75" customHeight="1">
      <c r="A8" s="67"/>
      <c r="B8" s="69"/>
      <c r="C8" s="69"/>
      <c r="D8" s="66" t="s">
        <v>381</v>
      </c>
    </row>
    <row r="9" spans="1:4" ht="21.75" customHeight="1">
      <c r="A9" s="67"/>
      <c r="B9" s="69"/>
      <c r="C9" s="69"/>
      <c r="D9" s="66" t="s">
        <v>382</v>
      </c>
    </row>
    <row r="10" spans="1:4" ht="21.75" customHeight="1">
      <c r="A10" s="67"/>
      <c r="B10" s="69"/>
      <c r="C10" s="69"/>
      <c r="D10" s="66" t="s">
        <v>383</v>
      </c>
    </row>
    <row r="11" spans="1:4" ht="21.75" customHeight="1">
      <c r="A11" s="67"/>
      <c r="B11" s="69"/>
      <c r="C11" s="69"/>
      <c r="D11" s="66" t="s">
        <v>384</v>
      </c>
    </row>
    <row r="12" spans="1:4" ht="21.75" customHeight="1">
      <c r="A12" s="67"/>
      <c r="B12" s="69"/>
      <c r="C12" s="69" t="s">
        <v>171</v>
      </c>
      <c r="D12" s="66" t="s">
        <v>385</v>
      </c>
    </row>
    <row r="13" spans="1:4" ht="21.75" customHeight="1">
      <c r="A13" s="67"/>
      <c r="B13" s="69"/>
      <c r="C13" s="69"/>
      <c r="D13" s="66" t="s">
        <v>386</v>
      </c>
    </row>
    <row r="14" spans="1:4" ht="21.75" customHeight="1">
      <c r="A14" s="67"/>
      <c r="B14" s="69"/>
      <c r="C14" s="69"/>
      <c r="D14" s="66" t="s">
        <v>387</v>
      </c>
    </row>
    <row r="15" spans="1:4" ht="21.75" customHeight="1">
      <c r="A15" s="67"/>
      <c r="B15" s="69"/>
      <c r="C15" s="69"/>
      <c r="D15" s="66" t="s">
        <v>388</v>
      </c>
    </row>
    <row r="16" spans="1:4" ht="21.75" customHeight="1">
      <c r="A16" s="67"/>
      <c r="B16" s="69"/>
      <c r="C16" s="69"/>
      <c r="D16" s="66" t="s">
        <v>389</v>
      </c>
    </row>
    <row r="17" spans="1:4" ht="21.75" customHeight="1">
      <c r="A17" s="67"/>
      <c r="B17" s="69"/>
      <c r="C17" s="69"/>
      <c r="D17" s="66" t="s">
        <v>390</v>
      </c>
    </row>
    <row r="18" spans="1:4" ht="21.75" customHeight="1">
      <c r="A18" s="67"/>
      <c r="B18" s="69"/>
      <c r="C18" s="69"/>
      <c r="D18" s="66" t="s">
        <v>391</v>
      </c>
    </row>
    <row r="19" spans="1:4" ht="21.75" customHeight="1">
      <c r="A19" s="67"/>
      <c r="B19" s="69"/>
      <c r="C19" s="69"/>
      <c r="D19" s="66" t="s">
        <v>392</v>
      </c>
    </row>
    <row r="20" spans="1:4" ht="21.75" customHeight="1">
      <c r="A20" s="67"/>
      <c r="B20" s="69"/>
      <c r="C20" s="69"/>
      <c r="D20" s="66" t="s">
        <v>393</v>
      </c>
    </row>
    <row r="21" spans="1:4" ht="21.75" customHeight="1">
      <c r="A21" s="67"/>
      <c r="B21" s="69"/>
      <c r="C21" s="69"/>
      <c r="D21" s="66" t="s">
        <v>394</v>
      </c>
    </row>
    <row r="22" spans="1:4" ht="21.75" customHeight="1">
      <c r="A22" s="72"/>
      <c r="B22" s="73"/>
      <c r="C22" s="73"/>
      <c r="D22" s="72"/>
    </row>
    <row r="23" spans="1:4" ht="21.75" customHeight="1"/>
    <row r="24" spans="1:4" ht="21.75" customHeight="1"/>
    <row r="25" spans="1:4" ht="21.75" customHeight="1"/>
    <row r="26" spans="1:4" ht="21.75" customHeight="1"/>
    <row r="27" spans="1:4" ht="21.75" customHeight="1"/>
    <row r="28" spans="1:4" ht="21.75" customHeight="1"/>
    <row r="29" spans="1:4" ht="21.75" customHeight="1"/>
    <row r="30" spans="1:4" ht="21.75" customHeight="1"/>
    <row r="31" spans="1:4" ht="21.75" customHeight="1"/>
    <row r="32" spans="1:4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</sheetData>
  <mergeCells count="1">
    <mergeCell ref="A1:D1"/>
  </mergeCells>
  <pageMargins left="0.70866141732283472" right="0.26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B6" sqref="B6"/>
    </sheetView>
  </sheetViews>
  <sheetFormatPr defaultRowHeight="23.25"/>
  <cols>
    <col min="1" max="16384" width="9" style="90"/>
  </cols>
  <sheetData>
    <row r="2" spans="1:1">
      <c r="A2" s="90" t="s">
        <v>989</v>
      </c>
    </row>
    <row r="3" spans="1:1">
      <c r="A3" s="90" t="s">
        <v>990</v>
      </c>
    </row>
    <row r="4" spans="1:1">
      <c r="A4" s="90" t="s">
        <v>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6</vt:i4>
      </vt:variant>
    </vt:vector>
  </HeadingPairs>
  <TitlesOfParts>
    <vt:vector size="19" baseType="lpstr">
      <vt:lpstr>ภาพรวม</vt:lpstr>
      <vt:lpstr>ภาพรวม (2)</vt:lpstr>
      <vt:lpstr>แผนบุคลากร</vt:lpstr>
      <vt:lpstr>งานตามภารกิจพื่นฐาน</vt:lpstr>
      <vt:lpstr>ยุทธศาสตร์</vt:lpstr>
      <vt:lpstr>กองทุนคุ้มครองเด็ก</vt:lpstr>
      <vt:lpstr>ค่าเบี้ยประชุมคณะกรรมการ</vt:lpstr>
      <vt:lpstr>อบรมสัมนา</vt:lpstr>
      <vt:lpstr>เดินทางไปต่างประเทศ</vt:lpstr>
      <vt:lpstr>ค่าเช่าบ้าน</vt:lpstr>
      <vt:lpstr>ค่าโทรศัพท์</vt:lpstr>
      <vt:lpstr>เงินอุดหนุน</vt:lpstr>
      <vt:lpstr>ค่าเช่าทรัพย์สิน</vt:lpstr>
      <vt:lpstr>กองทุนคุ้มครองเด็ก!Print_Titles</vt:lpstr>
      <vt:lpstr>งานตามภารกิจพื่นฐาน!Print_Titles</vt:lpstr>
      <vt:lpstr>แผนบุคลากร!Print_Titles</vt:lpstr>
      <vt:lpstr>ภาพรวม!Print_Titles</vt:lpstr>
      <vt:lpstr>'ภาพรวม (2)'!Print_Titles</vt:lpstr>
      <vt:lpstr>ยุทธศาสตร์!Print_Titles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Corporate Edition</cp:lastModifiedBy>
  <cp:lastPrinted>2015-12-17T06:12:23Z</cp:lastPrinted>
  <dcterms:created xsi:type="dcterms:W3CDTF">2015-09-16T03:24:11Z</dcterms:created>
  <dcterms:modified xsi:type="dcterms:W3CDTF">2015-12-18T07:03:54Z</dcterms:modified>
</cp:coreProperties>
</file>